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jcsicsné Hajni\Documents\2025. év\2025. I. félév\"/>
    </mc:Choice>
  </mc:AlternateContent>
  <xr:revisionPtr revIDLastSave="0" documentId="13_ncr:1_{74E2229E-4415-4040-8682-CB2014D2DD09}" xr6:coauthVersionLast="47" xr6:coauthVersionMax="47" xr10:uidLastSave="{00000000-0000-0000-0000-000000000000}"/>
  <bookViews>
    <workbookView xWindow="-120" yWindow="-120" windowWidth="29040" windowHeight="15840" tabRatio="889" xr2:uid="{00000000-000D-0000-FFFF-FFFF00000000}"/>
  </bookViews>
  <sheets>
    <sheet name="1.kv.teljesítés" sheetId="1" r:id="rId1"/>
    <sheet name="2. bevételek" sheetId="35" r:id="rId2"/>
    <sheet name="3.kiadások" sheetId="2" r:id="rId3"/>
    <sheet name="4.Feladatok kiadásai" sheetId="20" r:id="rId4"/>
    <sheet name="5. Felhalmozások" sheetId="36" r:id="rId5"/>
  </sheets>
  <definedNames>
    <definedName name="_xlnm.Print_Titles" localSheetId="2">'3.kiadások'!$A:$A,'3.kiadások'!$8:$9</definedName>
    <definedName name="_xlnm.Print_Titles" localSheetId="3">'4.Feladatok kiadásai'!$4:$5</definedName>
    <definedName name="_xlnm.Print_Area" localSheetId="1">'2. bevételek'!$A$1:$I$295</definedName>
    <definedName name="_xlnm.Print_Area" localSheetId="2">'3.kiadások'!$A$1:$E$83</definedName>
    <definedName name="_xlnm.Print_Area" localSheetId="3">'4.Feladatok kiadásai'!$B$1:$K$76</definedName>
    <definedName name="_xlnm.Print_Area" localSheetId="4">'5. Felhalmozások'!$A$1:$G$104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8" i="2" l="1"/>
  <c r="F57" i="2"/>
  <c r="F56" i="2"/>
  <c r="F63" i="2"/>
  <c r="F62" i="2"/>
  <c r="C21" i="2"/>
  <c r="C20" i="2"/>
  <c r="G50" i="36"/>
  <c r="G49" i="36"/>
  <c r="G48" i="36"/>
  <c r="G47" i="36"/>
  <c r="G46" i="36"/>
  <c r="G45" i="36"/>
  <c r="G44" i="36"/>
  <c r="G43" i="36"/>
  <c r="G42" i="36"/>
  <c r="F49" i="36" l="1"/>
  <c r="F45" i="36"/>
  <c r="E45" i="36"/>
  <c r="E42" i="36"/>
  <c r="F42" i="36"/>
  <c r="G65" i="36"/>
  <c r="E67" i="36"/>
  <c r="F67" i="36"/>
  <c r="G67" i="36" s="1"/>
  <c r="D67" i="36"/>
  <c r="G57" i="36"/>
  <c r="G59" i="36"/>
  <c r="G58" i="36"/>
  <c r="G66" i="36"/>
  <c r="G64" i="36"/>
  <c r="E40" i="36"/>
  <c r="F40" i="36"/>
  <c r="D40" i="36"/>
  <c r="G39" i="36"/>
  <c r="E70" i="36"/>
  <c r="F70" i="36"/>
  <c r="G70" i="36" s="1"/>
  <c r="D70" i="36"/>
  <c r="G69" i="36"/>
  <c r="G38" i="36"/>
  <c r="G35" i="36"/>
  <c r="G34" i="36"/>
  <c r="F53" i="36"/>
  <c r="G52" i="36"/>
  <c r="E53" i="36"/>
  <c r="D53" i="36"/>
  <c r="G11" i="36"/>
  <c r="G12" i="36"/>
  <c r="G13" i="36"/>
  <c r="G14" i="36"/>
  <c r="G15" i="36"/>
  <c r="G17" i="36"/>
  <c r="G18" i="36"/>
  <c r="G19" i="36"/>
  <c r="G21" i="36"/>
  <c r="G23" i="36"/>
  <c r="G24" i="36"/>
  <c r="G25" i="36"/>
  <c r="G26" i="36"/>
  <c r="G27" i="36"/>
  <c r="G29" i="36"/>
  <c r="G30" i="36"/>
  <c r="G31" i="36"/>
  <c r="G10" i="36"/>
  <c r="F20" i="36"/>
  <c r="G53" i="36" l="1"/>
  <c r="D93" i="36" l="1"/>
  <c r="F93" i="36"/>
  <c r="F84" i="36"/>
  <c r="D84" i="36"/>
  <c r="F79" i="36"/>
  <c r="D79" i="36"/>
  <c r="F75" i="36"/>
  <c r="D75" i="36"/>
  <c r="D71" i="36"/>
  <c r="F60" i="36"/>
  <c r="D60" i="36"/>
  <c r="F50" i="36"/>
  <c r="D50" i="36"/>
  <c r="F36" i="36"/>
  <c r="F32" i="36"/>
  <c r="D36" i="36"/>
  <c r="D32" i="36"/>
  <c r="E79" i="36"/>
  <c r="F71" i="36" l="1"/>
  <c r="F54" i="36"/>
  <c r="D54" i="36"/>
  <c r="D94" i="36" s="1"/>
  <c r="F94" i="36" l="1"/>
  <c r="E93" i="36" l="1"/>
  <c r="G93" i="36" s="1"/>
  <c r="E87" i="36"/>
  <c r="E84" i="36"/>
  <c r="G84" i="36" s="1"/>
  <c r="E75" i="36"/>
  <c r="E60" i="36"/>
  <c r="G60" i="36" s="1"/>
  <c r="E50" i="36"/>
  <c r="G40" i="36"/>
  <c r="E36" i="36"/>
  <c r="G36" i="36" s="1"/>
  <c r="E16" i="36"/>
  <c r="E76" i="2"/>
  <c r="D22" i="2"/>
  <c r="D21" i="2"/>
  <c r="D20" i="2"/>
  <c r="D17" i="2"/>
  <c r="D14" i="2"/>
  <c r="D13" i="2"/>
  <c r="D12" i="2"/>
  <c r="E32" i="36" l="1"/>
  <c r="G32" i="36" s="1"/>
  <c r="G16" i="36"/>
  <c r="E71" i="36"/>
  <c r="G71" i="36" s="1"/>
  <c r="H128" i="35"/>
  <c r="H127" i="35"/>
  <c r="H126" i="35"/>
  <c r="H121" i="35" s="1"/>
  <c r="H120" i="35"/>
  <c r="H105" i="35" s="1"/>
  <c r="H119" i="35"/>
  <c r="H101" i="35"/>
  <c r="H99" i="35" s="1"/>
  <c r="H98" i="35"/>
  <c r="H97" i="35"/>
  <c r="H95" i="35"/>
  <c r="H93" i="35"/>
  <c r="H92" i="35"/>
  <c r="H91" i="35"/>
  <c r="H90" i="35"/>
  <c r="H89" i="35"/>
  <c r="H77" i="35"/>
  <c r="H65" i="35"/>
  <c r="H62" i="35"/>
  <c r="H47" i="35"/>
  <c r="H42" i="35" s="1"/>
  <c r="H31" i="35"/>
  <c r="H10" i="35"/>
  <c r="E54" i="36" l="1"/>
  <c r="H9" i="35"/>
  <c r="H58" i="35"/>
  <c r="H87" i="35"/>
  <c r="H147" i="35"/>
  <c r="E94" i="36" l="1"/>
  <c r="G94" i="36" s="1"/>
  <c r="G54" i="36"/>
  <c r="C23" i="1"/>
  <c r="H22" i="2"/>
  <c r="K127" i="35"/>
  <c r="I101" i="35"/>
  <c r="G10" i="35"/>
  <c r="F10" i="35"/>
  <c r="G72" i="20" l="1"/>
  <c r="G71" i="20"/>
  <c r="D71" i="2"/>
  <c r="D70" i="2"/>
  <c r="I292" i="35"/>
  <c r="H260" i="35"/>
  <c r="E63" i="2"/>
  <c r="G60" i="20"/>
  <c r="G59" i="20"/>
  <c r="G57" i="20"/>
  <c r="D44" i="2"/>
  <c r="D48" i="2"/>
  <c r="K48" i="20" l="1"/>
  <c r="D28" i="2"/>
  <c r="D79" i="2" l="1"/>
  <c r="D75" i="2"/>
  <c r="D69" i="2"/>
  <c r="G293" i="35"/>
  <c r="H293" i="35"/>
  <c r="F293" i="35"/>
  <c r="I285" i="35"/>
  <c r="C79" i="2"/>
  <c r="B79" i="2"/>
  <c r="C75" i="2"/>
  <c r="C69" i="2"/>
  <c r="B69" i="2"/>
  <c r="E34" i="2"/>
  <c r="I267" i="35"/>
  <c r="G67" i="20"/>
  <c r="G55" i="20"/>
  <c r="J73" i="20"/>
  <c r="I73" i="20"/>
  <c r="H73" i="20"/>
  <c r="E73" i="20"/>
  <c r="F73" i="20"/>
  <c r="D73" i="20"/>
  <c r="K71" i="20"/>
  <c r="K14" i="20"/>
  <c r="F45" i="20"/>
  <c r="G44" i="20"/>
  <c r="E45" i="20"/>
  <c r="D45" i="20"/>
  <c r="C15" i="1"/>
  <c r="D15" i="1"/>
  <c r="C28" i="1"/>
  <c r="D28" i="1"/>
  <c r="E75" i="2" l="1"/>
  <c r="D81" i="2"/>
  <c r="C81" i="2"/>
  <c r="I293" i="35"/>
  <c r="B81" i="2"/>
  <c r="B28" i="1"/>
  <c r="B15" i="1"/>
  <c r="E14" i="1" l="1"/>
  <c r="E27" i="1"/>
  <c r="K54" i="20"/>
  <c r="I50" i="20"/>
  <c r="J50" i="20"/>
  <c r="H50" i="20"/>
  <c r="G37" i="20"/>
  <c r="G25" i="20"/>
  <c r="G23" i="20"/>
  <c r="I119" i="35" l="1"/>
  <c r="G61" i="20" l="1"/>
  <c r="G29" i="20" l="1"/>
  <c r="G28" i="20"/>
  <c r="G13" i="20"/>
  <c r="K13" i="20"/>
  <c r="I62" i="20" l="1"/>
  <c r="J62" i="20"/>
  <c r="H62" i="20"/>
  <c r="K18" i="20"/>
  <c r="G39" i="20"/>
  <c r="G38" i="20"/>
  <c r="G34" i="20"/>
  <c r="G18" i="20"/>
  <c r="I231" i="35"/>
  <c r="I216" i="35"/>
  <c r="D11" i="2"/>
  <c r="G66" i="20"/>
  <c r="F62" i="20"/>
  <c r="K55" i="20"/>
  <c r="J45" i="20"/>
  <c r="K41" i="20"/>
  <c r="G36" i="20"/>
  <c r="K33" i="20"/>
  <c r="K20" i="20"/>
  <c r="K67" i="20"/>
  <c r="I45" i="20"/>
  <c r="K25" i="20"/>
  <c r="H45" i="20"/>
  <c r="I275" i="35"/>
  <c r="E25" i="1"/>
  <c r="E24" i="1"/>
  <c r="E26" i="1"/>
  <c r="E23" i="1"/>
  <c r="E11" i="1"/>
  <c r="E12" i="1"/>
  <c r="E13" i="1"/>
  <c r="E10" i="1"/>
  <c r="G52" i="20"/>
  <c r="E62" i="20"/>
  <c r="D62" i="20"/>
  <c r="F69" i="20"/>
  <c r="I69" i="20"/>
  <c r="J69" i="20"/>
  <c r="H69" i="20"/>
  <c r="E69" i="20"/>
  <c r="D69" i="20"/>
  <c r="G68" i="20"/>
  <c r="K66" i="20"/>
  <c r="K65" i="20"/>
  <c r="G65" i="20"/>
  <c r="K64" i="20"/>
  <c r="K60" i="20"/>
  <c r="K59" i="20"/>
  <c r="K58" i="20"/>
  <c r="K52" i="20"/>
  <c r="K57" i="20"/>
  <c r="K56" i="20"/>
  <c r="K53" i="20"/>
  <c r="E50" i="20"/>
  <c r="F50" i="20"/>
  <c r="D50" i="20"/>
  <c r="G49" i="20"/>
  <c r="K47" i="20"/>
  <c r="G47" i="20"/>
  <c r="G40" i="20"/>
  <c r="K35" i="20"/>
  <c r="K24" i="20"/>
  <c r="C33" i="2"/>
  <c r="E30" i="2"/>
  <c r="E29" i="2"/>
  <c r="E28" i="2"/>
  <c r="D65" i="2"/>
  <c r="C65" i="2"/>
  <c r="B65" i="2"/>
  <c r="E62" i="2"/>
  <c r="D61" i="2"/>
  <c r="C61" i="2"/>
  <c r="B61" i="2"/>
  <c r="D55" i="2"/>
  <c r="C55" i="2"/>
  <c r="B55" i="2"/>
  <c r="E58" i="2"/>
  <c r="E57" i="2"/>
  <c r="E56" i="2"/>
  <c r="I260" i="35"/>
  <c r="H280" i="35"/>
  <c r="G280" i="35"/>
  <c r="F280" i="35"/>
  <c r="I276" i="35"/>
  <c r="I153" i="35"/>
  <c r="I154" i="35"/>
  <c r="I155" i="35"/>
  <c r="I156" i="35"/>
  <c r="I157" i="35"/>
  <c r="I158" i="35"/>
  <c r="I166" i="35"/>
  <c r="I167" i="35"/>
  <c r="I168" i="35"/>
  <c r="I169" i="35"/>
  <c r="I170" i="35"/>
  <c r="I171" i="35"/>
  <c r="I172" i="35"/>
  <c r="I184" i="35"/>
  <c r="I185" i="35"/>
  <c r="I186" i="35"/>
  <c r="I187" i="35"/>
  <c r="I59" i="35"/>
  <c r="G16" i="20"/>
  <c r="G17" i="20"/>
  <c r="K22" i="20"/>
  <c r="K21" i="20"/>
  <c r="K17" i="20"/>
  <c r="K16" i="20"/>
  <c r="K12" i="20"/>
  <c r="K11" i="20"/>
  <c r="G9" i="35"/>
  <c r="F9" i="35"/>
  <c r="K26" i="20"/>
  <c r="K27" i="20"/>
  <c r="K28" i="20"/>
  <c r="K29" i="20"/>
  <c r="K30" i="20"/>
  <c r="K31" i="20"/>
  <c r="K32" i="20"/>
  <c r="H191" i="35"/>
  <c r="I129" i="35"/>
  <c r="I130" i="35"/>
  <c r="I131" i="35"/>
  <c r="I132" i="35"/>
  <c r="I133" i="35"/>
  <c r="I134" i="35"/>
  <c r="I135" i="35"/>
  <c r="I136" i="35"/>
  <c r="I137" i="35"/>
  <c r="I138" i="35"/>
  <c r="I139" i="35"/>
  <c r="I140" i="35"/>
  <c r="I141" i="35"/>
  <c r="I142" i="35"/>
  <c r="I143" i="35"/>
  <c r="I128" i="35"/>
  <c r="I89" i="35"/>
  <c r="I90" i="35"/>
  <c r="I91" i="35"/>
  <c r="I92" i="35"/>
  <c r="I93" i="35"/>
  <c r="I95" i="35"/>
  <c r="I98" i="35"/>
  <c r="I88" i="35"/>
  <c r="I62" i="35"/>
  <c r="I63" i="35"/>
  <c r="I64" i="35"/>
  <c r="I65" i="35"/>
  <c r="I66" i="35"/>
  <c r="I67" i="35"/>
  <c r="I68" i="35"/>
  <c r="I69" i="35"/>
  <c r="I70" i="35"/>
  <c r="I71" i="35"/>
  <c r="I72" i="35"/>
  <c r="I73" i="35"/>
  <c r="I74" i="35"/>
  <c r="I75" i="35"/>
  <c r="I76" i="35"/>
  <c r="I77" i="35"/>
  <c r="I47" i="35"/>
  <c r="I10" i="35"/>
  <c r="I11" i="35"/>
  <c r="I12" i="35"/>
  <c r="I13" i="35"/>
  <c r="I14" i="35"/>
  <c r="I15" i="35"/>
  <c r="I16" i="35"/>
  <c r="I20" i="35"/>
  <c r="I21" i="35"/>
  <c r="I22" i="35"/>
  <c r="I23" i="35"/>
  <c r="I24" i="35"/>
  <c r="I25" i="35"/>
  <c r="I26" i="35"/>
  <c r="I27" i="35"/>
  <c r="I28" i="35"/>
  <c r="I29" i="35"/>
  <c r="I31" i="35"/>
  <c r="G31" i="20"/>
  <c r="G43" i="20"/>
  <c r="C27" i="2"/>
  <c r="D27" i="2"/>
  <c r="E12" i="2"/>
  <c r="E13" i="2"/>
  <c r="E14" i="2"/>
  <c r="E16" i="2"/>
  <c r="G11" i="20"/>
  <c r="K34" i="20"/>
  <c r="K23" i="20"/>
  <c r="K19" i="20"/>
  <c r="K15" i="20"/>
  <c r="K10" i="20"/>
  <c r="G10" i="20"/>
  <c r="K8" i="20"/>
  <c r="C41" i="2"/>
  <c r="B41" i="2"/>
  <c r="D51" i="2"/>
  <c r="C51" i="2"/>
  <c r="B51" i="2"/>
  <c r="E48" i="2"/>
  <c r="D47" i="2"/>
  <c r="C47" i="2"/>
  <c r="B47" i="2"/>
  <c r="E44" i="2"/>
  <c r="E43" i="2"/>
  <c r="E42" i="2"/>
  <c r="D37" i="2"/>
  <c r="C37" i="2"/>
  <c r="B37" i="2"/>
  <c r="D33" i="2"/>
  <c r="B33" i="2"/>
  <c r="B27" i="2"/>
  <c r="C11" i="2"/>
  <c r="B11" i="2"/>
  <c r="I32" i="35"/>
  <c r="I33" i="35"/>
  <c r="I34" i="35"/>
  <c r="I35" i="35"/>
  <c r="I36" i="35"/>
  <c r="I37" i="35"/>
  <c r="I38" i="35"/>
  <c r="I39" i="35"/>
  <c r="I40" i="35"/>
  <c r="I41" i="35"/>
  <c r="I48" i="35"/>
  <c r="I49" i="35"/>
  <c r="I50" i="35"/>
  <c r="I51" i="35"/>
  <c r="I52" i="35"/>
  <c r="I53" i="35"/>
  <c r="I54" i="35"/>
  <c r="I55" i="35"/>
  <c r="I56" i="35"/>
  <c r="I57" i="35"/>
  <c r="I78" i="35"/>
  <c r="I79" i="35"/>
  <c r="I80" i="35"/>
  <c r="I81" i="35"/>
  <c r="I82" i="35"/>
  <c r="I83" i="35"/>
  <c r="I84" i="35"/>
  <c r="I85" i="35"/>
  <c r="I86" i="35"/>
  <c r="G87" i="35"/>
  <c r="G99" i="35"/>
  <c r="G105" i="35"/>
  <c r="G121" i="35"/>
  <c r="G127" i="35"/>
  <c r="F127" i="35"/>
  <c r="F121" i="35"/>
  <c r="F105" i="35"/>
  <c r="F99" i="35"/>
  <c r="F87" i="35"/>
  <c r="G58" i="35"/>
  <c r="F58" i="35"/>
  <c r="G42" i="35"/>
  <c r="F42" i="35"/>
  <c r="D41" i="2"/>
  <c r="I232" i="35"/>
  <c r="K40" i="20"/>
  <c r="K39" i="20"/>
  <c r="K38" i="20"/>
  <c r="E17" i="2"/>
  <c r="E24" i="2"/>
  <c r="C23" i="2"/>
  <c r="D23" i="2"/>
  <c r="B23" i="2"/>
  <c r="K37" i="20"/>
  <c r="D19" i="2"/>
  <c r="B19" i="2"/>
  <c r="C19" i="2"/>
  <c r="E20" i="2"/>
  <c r="E21" i="2"/>
  <c r="E22" i="2"/>
  <c r="F235" i="35"/>
  <c r="G235" i="35"/>
  <c r="F191" i="35"/>
  <c r="H235" i="35"/>
  <c r="G191" i="35"/>
  <c r="E15" i="2"/>
  <c r="G8" i="20"/>
  <c r="E33" i="2" l="1"/>
  <c r="I105" i="35"/>
  <c r="E47" i="2"/>
  <c r="H75" i="20"/>
  <c r="J75" i="20"/>
  <c r="E75" i="20"/>
  <c r="D75" i="20"/>
  <c r="F75" i="20"/>
  <c r="I75" i="20"/>
  <c r="G73" i="20"/>
  <c r="K73" i="20"/>
  <c r="B39" i="2"/>
  <c r="I99" i="35"/>
  <c r="B67" i="2"/>
  <c r="I280" i="35"/>
  <c r="H295" i="35"/>
  <c r="G50" i="20"/>
  <c r="G62" i="20"/>
  <c r="K62" i="20"/>
  <c r="G69" i="20"/>
  <c r="G45" i="20"/>
  <c r="K45" i="20"/>
  <c r="K50" i="20"/>
  <c r="C67" i="2"/>
  <c r="C53" i="2"/>
  <c r="B53" i="2"/>
  <c r="D53" i="2"/>
  <c r="E41" i="2"/>
  <c r="D39" i="2"/>
  <c r="E27" i="2"/>
  <c r="C39" i="2"/>
  <c r="E23" i="2"/>
  <c r="D25" i="2"/>
  <c r="E19" i="2"/>
  <c r="I235" i="35"/>
  <c r="I191" i="35"/>
  <c r="I87" i="35"/>
  <c r="I42" i="35"/>
  <c r="I9" i="35"/>
  <c r="F147" i="35"/>
  <c r="F295" i="35" s="1"/>
  <c r="E28" i="1"/>
  <c r="E15" i="1"/>
  <c r="I58" i="35"/>
  <c r="E11" i="2"/>
  <c r="G147" i="35"/>
  <c r="G295" i="35" s="1"/>
  <c r="E61" i="2"/>
  <c r="C25" i="2"/>
  <c r="E55" i="2"/>
  <c r="K69" i="20"/>
  <c r="D67" i="2"/>
  <c r="B25" i="2"/>
  <c r="B83" i="2" l="1"/>
  <c r="C83" i="2"/>
  <c r="I295" i="35"/>
  <c r="E67" i="2"/>
  <c r="G75" i="20"/>
  <c r="K75" i="20"/>
  <c r="E53" i="2"/>
  <c r="E39" i="2"/>
  <c r="E25" i="2"/>
  <c r="I147" i="35"/>
  <c r="D83" i="2"/>
  <c r="E69" i="2"/>
  <c r="E70" i="2"/>
  <c r="E71" i="2"/>
  <c r="E72" i="2"/>
  <c r="E81" i="2"/>
  <c r="E83" i="2" l="1"/>
</calcChain>
</file>

<file path=xl/sharedStrings.xml><?xml version="1.0" encoding="utf-8"?>
<sst xmlns="http://schemas.openxmlformats.org/spreadsheetml/2006/main" count="1221" uniqueCount="497">
  <si>
    <t>Jánoshalma Város Önkormányzat költségvetésének</t>
  </si>
  <si>
    <t>Megnevezés</t>
  </si>
  <si>
    <t xml:space="preserve">Eredeti </t>
  </si>
  <si>
    <t>Módosított</t>
  </si>
  <si>
    <t>Teljesítés</t>
  </si>
  <si>
    <t>Önkormányzat mindösszesen</t>
  </si>
  <si>
    <t>Eredeti</t>
  </si>
  <si>
    <t>Polgármesteri Hivatal</t>
  </si>
  <si>
    <t>előirányzat</t>
  </si>
  <si>
    <t>%-a</t>
  </si>
  <si>
    <t>K i a d á s o k</t>
  </si>
  <si>
    <t>B e v é t e l e k</t>
  </si>
  <si>
    <t>Felújítás</t>
  </si>
  <si>
    <t>Teljesített</t>
  </si>
  <si>
    <t>Eredeti előirányzat</t>
  </si>
  <si>
    <t>B e v é t e l</t>
  </si>
  <si>
    <t xml:space="preserve"> K i a d á s</t>
  </si>
  <si>
    <t>Teljesítés       %-a</t>
  </si>
  <si>
    <t>Teljesítés        %-a</t>
  </si>
  <si>
    <t>Módosított előirányzat</t>
  </si>
  <si>
    <t>Mindösszesen:</t>
  </si>
  <si>
    <t>Előirányzat</t>
  </si>
  <si>
    <t>eredeti</t>
  </si>
  <si>
    <t>módosított</t>
  </si>
  <si>
    <t>Veszélyes hulladék kezelése, ártalmatlanítása</t>
  </si>
  <si>
    <t>Kiemelt állami és önkormányzati rendezvények</t>
  </si>
  <si>
    <t>Fejezeti és általános tartalékok elszámolása</t>
  </si>
  <si>
    <t>Háziorvosi alapellátás</t>
  </si>
  <si>
    <t>Fogorvosi alapellátás</t>
  </si>
  <si>
    <t>Szociális étkeztetés</t>
  </si>
  <si>
    <t>I. Működési kiadások</t>
  </si>
  <si>
    <t>II. Felhalmozási kiadások</t>
  </si>
  <si>
    <t>Beruházások</t>
  </si>
  <si>
    <t>–</t>
  </si>
  <si>
    <t>Felújítási alap befizetési kötelezettség (vegyes tulajdonú társasházak)</t>
  </si>
  <si>
    <t>Házi segítségnyújtás</t>
  </si>
  <si>
    <t>1</t>
  </si>
  <si>
    <t>2</t>
  </si>
  <si>
    <t>3</t>
  </si>
  <si>
    <t>4</t>
  </si>
  <si>
    <t>Közutak, hidak, alagutak üzemeltetése, fenntartása</t>
  </si>
  <si>
    <t>7</t>
  </si>
  <si>
    <t>9</t>
  </si>
  <si>
    <t>11</t>
  </si>
  <si>
    <t>14</t>
  </si>
  <si>
    <t>18</t>
  </si>
  <si>
    <t>Család- és nővédelmi egészségügyi gondozás</t>
  </si>
  <si>
    <t>Zöldterület-kezelés</t>
  </si>
  <si>
    <t>Az önkormányzati vagyonnal való gazdálkodással kapcsolatos feladatok</t>
  </si>
  <si>
    <t>Ár- és belvízvédelemmel összefüggő tevékenységek</t>
  </si>
  <si>
    <t>Ssz.</t>
  </si>
  <si>
    <t>Helyi önkormányzat</t>
  </si>
  <si>
    <t>Helyi önkormányzat összesen:</t>
  </si>
  <si>
    <t>1. melléklet</t>
  </si>
  <si>
    <t>1.) Helyi Önkormányzat</t>
  </si>
  <si>
    <t>2.) Polgármesteri Hivatal</t>
  </si>
  <si>
    <t>Helyi Önkormányzat</t>
  </si>
  <si>
    <t>3. melléklet</t>
  </si>
  <si>
    <t>4. melléklet</t>
  </si>
  <si>
    <t>Helyi Önkormányzat*</t>
  </si>
  <si>
    <t>Egyéb közhatalmi bevételek</t>
  </si>
  <si>
    <t>5</t>
  </si>
  <si>
    <t>15</t>
  </si>
  <si>
    <t>35</t>
  </si>
  <si>
    <t>8</t>
  </si>
  <si>
    <t>K1 Személyi juttatások</t>
  </si>
  <si>
    <t>K2 Munkaadót terhelő járulékok és szoc. hj.adó</t>
  </si>
  <si>
    <t>K3 Dologi kiadások</t>
  </si>
  <si>
    <t>K4 Ellátottak pénzbeli juttatásai</t>
  </si>
  <si>
    <t>K6 Beruházások</t>
  </si>
  <si>
    <t>K8 Egyéb felhalmozási célú kiadások</t>
  </si>
  <si>
    <t>III. Finanszírozási kiadások</t>
  </si>
  <si>
    <t>K5 Egyéb működési célú kiadások</t>
  </si>
  <si>
    <t>K7 Felújítások</t>
  </si>
  <si>
    <t>K9 Finanszírozási kiadások</t>
  </si>
  <si>
    <t>Nem veszélyes (települési) hulladék vegyes begyűjtése, szállítása, átrakása</t>
  </si>
  <si>
    <t>Város-, és községgazdálkodási egyéb szolgáltatások</t>
  </si>
  <si>
    <t>Sportlétesítmények és edzőtáborok működtetése és fejlesztése</t>
  </si>
  <si>
    <t>Polgármesteri Hivatal összesen:</t>
  </si>
  <si>
    <t>Fejlesztési célú tartalék</t>
  </si>
  <si>
    <t xml:space="preserve">5. melléklet </t>
  </si>
  <si>
    <t>Telj. %-a</t>
  </si>
  <si>
    <t>Rovatok megnevezése</t>
  </si>
  <si>
    <t>B1</t>
  </si>
  <si>
    <t>Működési célú támogatások államháztartáson belülről</t>
  </si>
  <si>
    <t>B11</t>
  </si>
  <si>
    <t>Önkormányzatok működési támogatásai</t>
  </si>
  <si>
    <t>B111</t>
  </si>
  <si>
    <t>Helyi önkormányzatok működésének ált. támogatása</t>
  </si>
  <si>
    <t>B112</t>
  </si>
  <si>
    <t>Telep. önk-ok egyes köznevelési feladatainak támogatása</t>
  </si>
  <si>
    <t>B113</t>
  </si>
  <si>
    <t>Telep. önk-ok szociális és gyermekjóléti feladatainak tám.</t>
  </si>
  <si>
    <t>B114</t>
  </si>
  <si>
    <t>Telep. önk-ok kulturális feladatainak támogatása</t>
  </si>
  <si>
    <t>B115</t>
  </si>
  <si>
    <t>Működési célú központosított előirányzatok</t>
  </si>
  <si>
    <t>B116</t>
  </si>
  <si>
    <t>Helyi önkormányzatok kiegészítő támogatásai</t>
  </si>
  <si>
    <t>B12</t>
  </si>
  <si>
    <t>Elvonások és befizetések bevételei</t>
  </si>
  <si>
    <t>B13</t>
  </si>
  <si>
    <t>Működési c. garancia- és kez.váll-ból szárm. megt. állh-on belülről</t>
  </si>
  <si>
    <t>B14</t>
  </si>
  <si>
    <t>Műk. c. visszatérítendő támogatások, kölcsönök vtérülése állh. bel.</t>
  </si>
  <si>
    <t>ebből:</t>
  </si>
  <si>
    <t>a,</t>
  </si>
  <si>
    <t>központi költségvetési szervek</t>
  </si>
  <si>
    <t>b,</t>
  </si>
  <si>
    <t>központi kezelésű előirányzatok</t>
  </si>
  <si>
    <t>c,</t>
  </si>
  <si>
    <t>fejezeti kezelésű ei EU-s pr. és azok hazai társfinanszírozása</t>
  </si>
  <si>
    <t>d,</t>
  </si>
  <si>
    <t>egyéb fejezeti kezelésű előirányzatok</t>
  </si>
  <si>
    <t>e,</t>
  </si>
  <si>
    <t>TB pénzügyi alapjai</t>
  </si>
  <si>
    <t xml:space="preserve">f, </t>
  </si>
  <si>
    <t>elkülönített állami pénzalapok</t>
  </si>
  <si>
    <t>g,</t>
  </si>
  <si>
    <t>helyi önkormányzatok és költségvetési szerveik</t>
  </si>
  <si>
    <t xml:space="preserve">h, </t>
  </si>
  <si>
    <t>társulások és költségvetési szerveik</t>
  </si>
  <si>
    <t xml:space="preserve">i, </t>
  </si>
  <si>
    <t>nemzetiségi önk-ok és költségvetési szerveik</t>
  </si>
  <si>
    <t>j,</t>
  </si>
  <si>
    <t>térségi fejleszt. tanácsok és költségvetési szerveik</t>
  </si>
  <si>
    <t>B15</t>
  </si>
  <si>
    <t>Műk. c. visszatérítendő támogatások, kölcsönök igénybev. állh. bel.</t>
  </si>
  <si>
    <t>B16</t>
  </si>
  <si>
    <t>Egyéb műk. c. támogatások bevételei államházt.-on belülről</t>
  </si>
  <si>
    <t>B2</t>
  </si>
  <si>
    <t>Felhalm. célú támogatások államháztartáson belülről</t>
  </si>
  <si>
    <t>B21</t>
  </si>
  <si>
    <t>Felhalmozási c. önkormányzati támogatások</t>
  </si>
  <si>
    <t>B22</t>
  </si>
  <si>
    <t>Felhalm. c. garancia- és kez.váll-ból szárm. megt. állh-on belülről</t>
  </si>
  <si>
    <t>B23</t>
  </si>
  <si>
    <t>Felh. c. visszatérítendő támogatások, kölcsönök vtérülése állh. bel.</t>
  </si>
  <si>
    <t>B24</t>
  </si>
  <si>
    <t>Felh. c. visszatérítendő támogatások, kölcsönök igénybev. állh. bel.</t>
  </si>
  <si>
    <t>B25</t>
  </si>
  <si>
    <t>Egyéb felh. c. támogatások bevételei államházt.-on belülről</t>
  </si>
  <si>
    <t>B3</t>
  </si>
  <si>
    <t>Közhatalmi bevételek</t>
  </si>
  <si>
    <t>B31</t>
  </si>
  <si>
    <t>Jövedelemadók</t>
  </si>
  <si>
    <t>B32</t>
  </si>
  <si>
    <t>Szociális hozzájárulási adó és járulékok</t>
  </si>
  <si>
    <t>B33</t>
  </si>
  <si>
    <t>Bérhez és foglalkoztatáshoz kapcsolódó adók</t>
  </si>
  <si>
    <t>B34</t>
  </si>
  <si>
    <t xml:space="preserve">Vagyoni típusú adók </t>
  </si>
  <si>
    <t>magánszemélyek kommunális adója</t>
  </si>
  <si>
    <t>telekadó</t>
  </si>
  <si>
    <t>B35</t>
  </si>
  <si>
    <t>Termékek és szolgáltatások adói</t>
  </si>
  <si>
    <t>B351</t>
  </si>
  <si>
    <t>Értékesítési és forgalmi adók</t>
  </si>
  <si>
    <t>állandó jelleggel végz. iparűz. tev. utáni helyi iparűzési adó</t>
  </si>
  <si>
    <t>ideigl. jell. végz. tev. utáni helyi iparűzési adó</t>
  </si>
  <si>
    <t>B352</t>
  </si>
  <si>
    <t>Fogyasztási adók</t>
  </si>
  <si>
    <t>B353</t>
  </si>
  <si>
    <t>Pü-i monopóliumok nyereségét terhelő adók</t>
  </si>
  <si>
    <t>B354</t>
  </si>
  <si>
    <t>Gépjárműadók</t>
  </si>
  <si>
    <t>belföldi gépjárművek adójának helyi önk-t megillető része</t>
  </si>
  <si>
    <t>B355</t>
  </si>
  <si>
    <t>Egyéb áruhasználati és szolgáltatási adók</t>
  </si>
  <si>
    <t>környezetterhelési díj</t>
  </si>
  <si>
    <t>talajterhelési díj</t>
  </si>
  <si>
    <t>korábbi évek megszűnt adónemei áthúzódó bevételei</t>
  </si>
  <si>
    <t>B36</t>
  </si>
  <si>
    <t>eljárási illetékek</t>
  </si>
  <si>
    <t>igazgatási szolgáltatási díjak</t>
  </si>
  <si>
    <t>felügyeleti díjak</t>
  </si>
  <si>
    <t>ebrendészeti hozzájárulás</t>
  </si>
  <si>
    <t>környezetvédelmi bírság</t>
  </si>
  <si>
    <t>építésügyi bírság</t>
  </si>
  <si>
    <t>szabálysértési pénz- és helyszíni bírság és a közlekedési szabályszegések után kiszabott közig. bírság önkormányzatot megillető része</t>
  </si>
  <si>
    <t>egyéb bírságok</t>
  </si>
  <si>
    <t>késedelmi és önellenőrzési pótlék</t>
  </si>
  <si>
    <t>B4</t>
  </si>
  <si>
    <t>Működési bevételek</t>
  </si>
  <si>
    <t>B401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</si>
  <si>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</si>
  <si>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</si>
  <si>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</si>
  <si>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</si>
  <si>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</si>
  <si>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</si>
  <si>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</si>
  <si>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B406</t>
  </si>
  <si>
    <t>Kiszámlázott általános forgalmi adó</t>
  </si>
  <si>
    <t>B407</t>
  </si>
  <si>
    <t>Általános forgalmi adó visszatérítése</t>
  </si>
  <si>
    <t>B408</t>
  </si>
  <si>
    <t>B409</t>
  </si>
  <si>
    <t>B410</t>
  </si>
  <si>
    <t>B5</t>
  </si>
  <si>
    <t>Felhalmozási bevételek</t>
  </si>
  <si>
    <t>B51</t>
  </si>
  <si>
    <t>Immateriális javak értékesítése</t>
  </si>
  <si>
    <t>B52</t>
  </si>
  <si>
    <t>Ingatlanok értékesítése</t>
  </si>
  <si>
    <t>B53</t>
  </si>
  <si>
    <t>Egyéb tárgyi eszközök értékesítése</t>
  </si>
  <si>
    <t>B54</t>
  </si>
  <si>
    <t>Részesedések értékesítése</t>
  </si>
  <si>
    <t>B55</t>
  </si>
  <si>
    <t>Részesedések megszűnéséhez kapcsolódó bevételek</t>
  </si>
  <si>
    <t>B6</t>
  </si>
  <si>
    <t>Működési célú átvett pénzeszközök</t>
  </si>
  <si>
    <t>B61</t>
  </si>
  <si>
    <t>Működési c. garancia- és kez.váll-ból szárm. megt. állh-on kívülről</t>
  </si>
  <si>
    <t>B62</t>
  </si>
  <si>
    <t>Műk. c. visszatérítendő támogatások, kölcsönök vtérülése állh. kív.</t>
  </si>
  <si>
    <t>egyházi jogi személyek</t>
  </si>
  <si>
    <t>egyéb civil szervezetek</t>
  </si>
  <si>
    <t>háztartások</t>
  </si>
  <si>
    <t>pénzügyi vállalkozások</t>
  </si>
  <si>
    <t>állami többségi tul. -ú nem pénzügyi vállalkozások</t>
  </si>
  <si>
    <t>önk-i többségi tul.-ú nem pénzügyi vállalkozások</t>
  </si>
  <si>
    <t>egyéb vállalkozások</t>
  </si>
  <si>
    <t>Európai Unió</t>
  </si>
  <si>
    <t>kormányok és nemzetközi szervezetek</t>
  </si>
  <si>
    <t>egyéb külföldiek</t>
  </si>
  <si>
    <t>B63</t>
  </si>
  <si>
    <t>Egyéb műk. c. átvett pénzeszközök</t>
  </si>
  <si>
    <t>B7</t>
  </si>
  <si>
    <t>Felhalmozási célú átvett pénzeszközök</t>
  </si>
  <si>
    <t>B71</t>
  </si>
  <si>
    <t>Felhalm. c. garancia- és kez.váll-ból szárm. megt. állh-on kívülről</t>
  </si>
  <si>
    <t>B72</t>
  </si>
  <si>
    <t>Felhalm. c. v.térítendő támogatások, kölcsönök vtérülése állh. kív.</t>
  </si>
  <si>
    <t>B73</t>
  </si>
  <si>
    <t>Egyéb felhalm. c. átvett pénzeszközök</t>
  </si>
  <si>
    <t>B8</t>
  </si>
  <si>
    <t>Finanszírozási bevételek</t>
  </si>
  <si>
    <t>B81</t>
  </si>
  <si>
    <t>Belföldi finanszírozás bevételei</t>
  </si>
  <si>
    <t>B811</t>
  </si>
  <si>
    <t>Hitel-, kölcsönfelvétel államháztartáson kívülről</t>
  </si>
  <si>
    <t>B8111</t>
  </si>
  <si>
    <t>Hosszú lejáratú hitelek, kölcsönök felvétele</t>
  </si>
  <si>
    <t>B8112</t>
  </si>
  <si>
    <t>Likviditási célú hitelek, kölcsönök felvétele pü-i vállalkozástól</t>
  </si>
  <si>
    <t>B8113</t>
  </si>
  <si>
    <t>Rövid lejáratú hitelek, kölcsönök felvétele</t>
  </si>
  <si>
    <t>B812</t>
  </si>
  <si>
    <t>Belföldi értékpapírok bevételei</t>
  </si>
  <si>
    <t>B813</t>
  </si>
  <si>
    <t>Maradvány igénybevétele</t>
  </si>
  <si>
    <t>B8131</t>
  </si>
  <si>
    <t>Előző év költségvetési maradványának igénybevétele</t>
  </si>
  <si>
    <t>ebből működési</t>
  </si>
  <si>
    <t>ebből felhalmozási</t>
  </si>
  <si>
    <t>B8132</t>
  </si>
  <si>
    <t>Előző év vállalkozási maradványának igénybevétele</t>
  </si>
  <si>
    <t>B814</t>
  </si>
  <si>
    <t>Államháztartáson belüli megelőlegezések (Áht. 78.§ (4) és (5) bek.)</t>
  </si>
  <si>
    <t>B815</t>
  </si>
  <si>
    <t>Államháztartáson belüli megelől. törleszt. (Áht. 78.§ (4) és (5) bek.)</t>
  </si>
  <si>
    <t>B816</t>
  </si>
  <si>
    <t>Központi, irányító szervi támogatás</t>
  </si>
  <si>
    <t>B817</t>
  </si>
  <si>
    <t>Betétek megszüntetése</t>
  </si>
  <si>
    <t>B818</t>
  </si>
  <si>
    <t>Központi költségvetés sajátos finanszírozási bevételei</t>
  </si>
  <si>
    <t>B82</t>
  </si>
  <si>
    <t>Külföldi finanszírozás bevételei</t>
  </si>
  <si>
    <t>B83</t>
  </si>
  <si>
    <t>Adóssághoz nem kapcsolódó származékos ügyletek bevételei</t>
  </si>
  <si>
    <t xml:space="preserve">2. melléklet </t>
  </si>
  <si>
    <t>Helyi önkormányzat bevételei összesen:</t>
  </si>
  <si>
    <t>Polgármesteri Hivatal bevételei összesen:</t>
  </si>
  <si>
    <t>Helyi önkormányzat és intézményeinek bevételei mindösszesen:</t>
  </si>
  <si>
    <t>Központi költségvetési befizetések</t>
  </si>
  <si>
    <t>Önkormányzatok elszámolásai a központi költségvetéssel</t>
  </si>
  <si>
    <t>21</t>
  </si>
  <si>
    <t>10</t>
  </si>
  <si>
    <t>6</t>
  </si>
  <si>
    <t>COFOG</t>
  </si>
  <si>
    <t>051030</t>
  </si>
  <si>
    <t>051060</t>
  </si>
  <si>
    <t>045160</t>
  </si>
  <si>
    <t>013350</t>
  </si>
  <si>
    <t>066010</t>
  </si>
  <si>
    <t>011130</t>
  </si>
  <si>
    <t>016080</t>
  </si>
  <si>
    <t>018020</t>
  </si>
  <si>
    <t>064010</t>
  </si>
  <si>
    <t>066020</t>
  </si>
  <si>
    <t>018010</t>
  </si>
  <si>
    <t>032020</t>
  </si>
  <si>
    <t>047410</t>
  </si>
  <si>
    <t>072111</t>
  </si>
  <si>
    <t>072311</t>
  </si>
  <si>
    <t>074031</t>
  </si>
  <si>
    <t>107051</t>
  </si>
  <si>
    <t>107052</t>
  </si>
  <si>
    <t>107060</t>
  </si>
  <si>
    <t>082042</t>
  </si>
  <si>
    <t>081030</t>
  </si>
  <si>
    <t>26</t>
  </si>
  <si>
    <t>34</t>
  </si>
  <si>
    <t>Készletértékesítés ellenértéke</t>
  </si>
  <si>
    <t>Biztosító által fizetett kártérítés</t>
  </si>
  <si>
    <t>B411</t>
  </si>
  <si>
    <t>Egyéb működési bevételek</t>
  </si>
  <si>
    <t>Műk. c. visszatérítendő támogatások, kölcsönök vtérülése EU-tól</t>
  </si>
  <si>
    <t>B64</t>
  </si>
  <si>
    <t>B65</t>
  </si>
  <si>
    <t>Felhalm. c. v.térítendő támogatások, kölcsönök vtérülése EU-tól</t>
  </si>
  <si>
    <t>B74</t>
  </si>
  <si>
    <t>B75</t>
  </si>
  <si>
    <t>B84</t>
  </si>
  <si>
    <t>Váltóbevételek</t>
  </si>
  <si>
    <t xml:space="preserve">  -K48 Egyéb nem intézményi ellátások</t>
  </si>
  <si>
    <t xml:space="preserve">  -ebből: tartalékok</t>
  </si>
  <si>
    <t>Helyi önkormányzat és intézményeinek kiadásai mindösszesen:</t>
  </si>
  <si>
    <t>Közvilágítási feladatok</t>
  </si>
  <si>
    <t>--</t>
  </si>
  <si>
    <t>A</t>
  </si>
  <si>
    <t xml:space="preserve">Egyéb pénzügyi műveletek bevételei </t>
  </si>
  <si>
    <t>Felh. c. visszatérítendő támogatások, kölcsönök vtérülése ÁH. bel.</t>
  </si>
  <si>
    <t>Felh. c. visszatérítendő támogatások, kölcsönök igénybev. ÁH. bel.</t>
  </si>
  <si>
    <t>Felhalm. c. garancia- és kez.váll-ból szárm. megt. ÁH-on belülről</t>
  </si>
  <si>
    <t>Működési c. garancia- és kez.váll-ból szárm. megt. ÁH-on belülről</t>
  </si>
  <si>
    <t>Műk. c. visszatérítendő támogatások, kölcsönök vtérülése ÁH. bel.</t>
  </si>
  <si>
    <t>Műk. c. visszatérítendő támogatások, kölcsönök igénybev. ÁH. bel.</t>
  </si>
  <si>
    <t>Műk. c. visszatérítendő támogatások, kölcsönök visszatérülése kormányoktól és más nemzetközi szervezetektől</t>
  </si>
  <si>
    <t>Műk. c. visszatérítendő támogatások, kölcsönök visszatérülése államháztrtáson kívülről</t>
  </si>
  <si>
    <t>Felhalm. c. v.térítendő támogatások, kölcsönök visszatérülése kormányoktól és más nemzetközi szervezetektől</t>
  </si>
  <si>
    <t>Egyéb felhalmozási célú átvett pénzeszközök</t>
  </si>
  <si>
    <t>adatok  Ft-ban</t>
  </si>
  <si>
    <t>adatok Ft-ban</t>
  </si>
  <si>
    <t>Kamatbevételek és más nyereségjellegű bevételek</t>
  </si>
  <si>
    <t xml:space="preserve"> Ft-ban</t>
  </si>
  <si>
    <t>Könyvtári állomány gyarapítása, nyilvántartása</t>
  </si>
  <si>
    <t>23</t>
  </si>
  <si>
    <t>Időskorúak tartós bentlakásos ellátása</t>
  </si>
  <si>
    <t>102023</t>
  </si>
  <si>
    <t>29</t>
  </si>
  <si>
    <t>30</t>
  </si>
  <si>
    <t>Biztos Kezdet Gyerekház</t>
  </si>
  <si>
    <t>104044</t>
  </si>
  <si>
    <t>900020</t>
  </si>
  <si>
    <t>018030</t>
  </si>
  <si>
    <t>16</t>
  </si>
  <si>
    <t>27</t>
  </si>
  <si>
    <t xml:space="preserve">Egyéb szociális pénzbeli ellátások, támogatások </t>
  </si>
  <si>
    <t>Önk-ok funkcióra nem sorolható bevételei ÁH-on kívülről  - helyi önkormányzatok költségvetését megillető adóbevételek</t>
  </si>
  <si>
    <t>-</t>
  </si>
  <si>
    <t>Start-munka program - Téli közfoglalkoztatás</t>
  </si>
  <si>
    <t>Hosszabb időtartamú közfoglalkoztatás</t>
  </si>
  <si>
    <t>Gyermekétkeztetés köznevelési intézményben</t>
  </si>
  <si>
    <t>Intézményen kívüli gyermekétkeztetés</t>
  </si>
  <si>
    <t>041232</t>
  </si>
  <si>
    <t>041233</t>
  </si>
  <si>
    <t>104037</t>
  </si>
  <si>
    <t>096015</t>
  </si>
  <si>
    <t>12</t>
  </si>
  <si>
    <t>13</t>
  </si>
  <si>
    <t>17</t>
  </si>
  <si>
    <t>19</t>
  </si>
  <si>
    <t>28</t>
  </si>
  <si>
    <t>Imre Zoltán Művelődési Központ és Könyvtár</t>
  </si>
  <si>
    <t>Gyermeklánc Óvoda és Bölcsőde, Család- és Gyermekjóléti Központ</t>
  </si>
  <si>
    <t>Ellátási díjak (ált. isk. étkeztetés díja)</t>
  </si>
  <si>
    <t>Gyermeklánc Óvoda és Bölcsőde, Család- és Gyermekjóléti Központ bevételei összesen:</t>
  </si>
  <si>
    <t>Imre Zoltán Művelődési Központ és Könyvtár bevételei összesen:</t>
  </si>
  <si>
    <t>3.) Gyermeklánc Óvoda és Bölcsőde, Család- és Gyermekjóléti Központ</t>
  </si>
  <si>
    <t>4.) Imre Zoltán Művelődési Központ és Könyvtár</t>
  </si>
  <si>
    <t>Szennyvízcsatorna építése, fenntartása, üzemeltetése</t>
  </si>
  <si>
    <t>20</t>
  </si>
  <si>
    <t>31</t>
  </si>
  <si>
    <t>052080</t>
  </si>
  <si>
    <t xml:space="preserve">Gyermeklánc Óvoda és Bölcsőde, Család- és Gyermekjóléti Központ </t>
  </si>
  <si>
    <t>Család-  és Gyermekjóléti Központ</t>
  </si>
  <si>
    <t>Család-  és Gyermekjóléti Szolgálat</t>
  </si>
  <si>
    <t>Bölcsődei ellátás</t>
  </si>
  <si>
    <t>Múzeumi, gyűjteményi tevékenység (Helytörténeti Gyűjtemény)</t>
  </si>
  <si>
    <t>Könyvtári szolgáltatások</t>
  </si>
  <si>
    <t>082061</t>
  </si>
  <si>
    <t>082044</t>
  </si>
  <si>
    <t>Imre Zoltán Művelődési Központ és Könyvtár összesen:</t>
  </si>
  <si>
    <t>Bölcsődei gyermekétkeztetés</t>
  </si>
  <si>
    <t>"Nyitnikék" Gyerekház működtetése</t>
  </si>
  <si>
    <t>Önkormányzatok és önkormányzati hivatalok jogalkotói és ált. igazgatási tevékenysége</t>
  </si>
  <si>
    <t>Közművelődés - hagyományos közösségi kulturális értékek gondozása</t>
  </si>
  <si>
    <t>062020</t>
  </si>
  <si>
    <t>Településfejlesztési projektek és támogatásuk</t>
  </si>
  <si>
    <t>107080</t>
  </si>
  <si>
    <t>Esélyegyenlőség elősegítését célzó tevékenységek és programok</t>
  </si>
  <si>
    <t>Óvodai nevelés</t>
  </si>
  <si>
    <t xml:space="preserve">Óvodai gyermekétkeztetés </t>
  </si>
  <si>
    <t>082092</t>
  </si>
  <si>
    <t>Önkormányzat és intézményei mindösszesen:</t>
  </si>
  <si>
    <t>Tűz- és katasztrófavédelmi tevékenységek</t>
  </si>
  <si>
    <t>32</t>
  </si>
  <si>
    <t>36</t>
  </si>
  <si>
    <t>Növénytermesztés, állattenyésztés és kapcsolódó szolgáltatások</t>
  </si>
  <si>
    <t>25</t>
  </si>
  <si>
    <t>042130</t>
  </si>
  <si>
    <t>Óvoda működtetés, fenntartás</t>
  </si>
  <si>
    <t>Könyvtári dokumentumok vásárlása (1 éven túl elhasználódó)</t>
  </si>
  <si>
    <t>Kiadások összesen</t>
  </si>
  <si>
    <t>Máshova nem sorolt gazdasági ügyek</t>
  </si>
  <si>
    <t>33</t>
  </si>
  <si>
    <t>Önkormányzatok és önkormányzati hivatalok jogalkotói és általános igazgatási tevékenysége, Adó-, vám- és jövedéki igazgatás, Közterület rendjének fenntartása</t>
  </si>
  <si>
    <t>Támogatási célú finanszírozási műveletek -bevétel:  előző évi maradvány igénybevétele</t>
  </si>
  <si>
    <t>Köztemető fenntartás és működtetés</t>
  </si>
  <si>
    <t>Támogatási célú finanszírozási műveletek (kp-i irányító szervi támogatás nélkül) - ÁH-n belül nyújtott támogatások, előző évi maradvány igénybevétele</t>
  </si>
  <si>
    <t>049010</t>
  </si>
  <si>
    <t>Sajátos nevelési igényű gyermekek óvodai nevelésének, ellátásának szakmai feladatai</t>
  </si>
  <si>
    <t>B</t>
  </si>
  <si>
    <t>Homokbánya műszaki üzemelési terv</t>
  </si>
  <si>
    <t>Gyermeklánc Óvoda és Bölcsőde, Család- és Gyermekjóléti Központ  összesen:</t>
  </si>
  <si>
    <t>Összesen:</t>
  </si>
  <si>
    <t>Közvilágítás korszerűsítés (műszaki szakértelem, műszaki ellenőrzés)</t>
  </si>
  <si>
    <t>Imre Zoltán Művelődési Központ és Könyvtár  összesen:</t>
  </si>
  <si>
    <t>Egyéb felhalmozás célú támogatás államháztartáson belülre</t>
  </si>
  <si>
    <t>Felhalmozási célú visszatérítendő támogatások, kölcsönök nyújtása államháztartáson kívülre</t>
  </si>
  <si>
    <t>Egyéb felhalmozás célú támogatások államháztartáson kívülre</t>
  </si>
  <si>
    <t>Fejlesztési célú támogatásértékű kiadások</t>
  </si>
  <si>
    <t>C</t>
  </si>
  <si>
    <t>D</t>
  </si>
  <si>
    <t>E</t>
  </si>
  <si>
    <t>Jánoshalmi Egészségközpont</t>
  </si>
  <si>
    <t>Forgatási és befektetési c. finanszírozási műveletek</t>
  </si>
  <si>
    <t>Bűnmegelőzés</t>
  </si>
  <si>
    <t xml:space="preserve">Támogatási célú finanszírozási műveletek ( előző évi maradvány igénybevétele), </t>
  </si>
  <si>
    <t>031060</t>
  </si>
  <si>
    <t>22. Eü. ellátás</t>
  </si>
  <si>
    <t>24</t>
  </si>
  <si>
    <t>072210</t>
  </si>
  <si>
    <t>Járóbetegek gyógyító szakellátása</t>
  </si>
  <si>
    <t>5.) Jánoshalmi Egészségközpont</t>
  </si>
  <si>
    <t>Jánoshalmi Egészségközpont bevételei összesen:</t>
  </si>
  <si>
    <t>TOP PLUSZ -1.1.1-21-BK1-2022-00001 „Termelői piac felújítása Jánoshalmán” c. projekt beruházási kiadásai</t>
  </si>
  <si>
    <t>TOP PLUSZ -1.2.1-21-BK1-2023-00055 „Közösségi fejlesztések Jánoshalmán” c. projekt beruházási kiadásai</t>
  </si>
  <si>
    <t>TOP PLUSZ -1.1.3-21-BK1-2023-00023 „Horgászturizmus fejlesztése Jánoshalmán” c. projekt beruházási kiadásai</t>
  </si>
  <si>
    <t>Szakhatósági díjak önkormányzati beruházás esetén</t>
  </si>
  <si>
    <t>Óvodai gyermekétkeztetéshez kapcsolódó eszközbeszerzések ( pl. műanyag dobozok csoportonként és konyhai szállításra, badella)</t>
  </si>
  <si>
    <t>Bölcsődei gyermekétkeztetéshez kapcsolódó eszközbeszerzések ( pl. műanyag dobozok csoportonként és konyhai szállításra, badella)</t>
  </si>
  <si>
    <t>2025. I. félévi teljesítése</t>
  </si>
  <si>
    <t>int. Fin</t>
  </si>
  <si>
    <t>betét elhelyezés</t>
  </si>
  <si>
    <t>betét felszabadítás</t>
  </si>
  <si>
    <t>* a Helyi Önkormányzat esetében a bevételek eredeti előirányzata 799.348.566 Ft-tal, a módosított előirányzata 806.601.172 Ft-tal  tér el a kiadási előirányzattól. Az eltérés az önállóan működő és gazdálkodó Polgármesteri Hivatal, az önállóan működő Gyermeklánc Óvoda és Bölcsőde, Család- és Gyermekjóléti Központ és az Imre Zoltán Művelődési Központ és Könyvtár költségvetési támogatása, melyet az önkormányzati szintű összesítésnél a halmozódás elkerülése érdekében a Helyi Önkormányzat adatából levonásba kell helyezni.</t>
  </si>
  <si>
    <t>A központi irányító szervi támogatás teljesítése 2025.06.30-ig 382.260.290 Ft, 47,39 %.</t>
  </si>
  <si>
    <t>=</t>
  </si>
  <si>
    <t>Jánoshalma Város Önkormányzat feladatonkénti teljesítése 2025. I. félév</t>
  </si>
  <si>
    <t>2025. I. félévi felhalmozási kiadások feladatonként, felújítási kiadások célonként</t>
  </si>
  <si>
    <t>Ebrendészeti telep épület átalakítás, vízelvezetés, eszközbeszerzések</t>
  </si>
  <si>
    <t>Kameracsere</t>
  </si>
  <si>
    <t>Bajai u. 2. kamera elhelyezés</t>
  </si>
  <si>
    <t>TOP PLUSZ -2.1.1-21-BK1-2022-00048 „Tűzoltó Parancsnokság épületének korszerűsítése” c. projekt kivitelezés maradványa</t>
  </si>
  <si>
    <t>Szociális étkeztetés beruházási kiadásai (számítógép konfiguráció)</t>
  </si>
  <si>
    <t>Település Rendezési Terv módosítása</t>
  </si>
  <si>
    <t xml:space="preserve">Helyi Építési Szabályzat módosítása </t>
  </si>
  <si>
    <t>Hosszabb időtartamú közfoglalkoztatás (70311/26/00335) beruházási kiadásai</t>
  </si>
  <si>
    <t>Járási startmunka mintaprogram (70311/30/00179) beruházási kiadásai</t>
  </si>
  <si>
    <t>Városüzemeltetési feladat - kisértékű eszközök beszerzése</t>
  </si>
  <si>
    <t>Berzsenyi Dániel utcai telekalakítások ingatlanrész vásárlása</t>
  </si>
  <si>
    <t>"Versenyképes Járások Program" pályázati előkészítéséhez szükséges feladatok felhalmozási kiadása</t>
  </si>
  <si>
    <t>TOP PLUSZ -3.1.3-23-BK1-2024-00003 „Hátrányból előnyt nyerünk!” c. projekt beruházási kiadásai</t>
  </si>
  <si>
    <t>Tablet</t>
  </si>
  <si>
    <t>Család- és Gyermekjóléti Központ beruházási kiadásai ( asztali számítógépek memória bővítése, billentyűzet, egér, külső winchester, szünetmentes tápegység, laptop, asztali számítógép vásárlás 3 db, Laptop)</t>
  </si>
  <si>
    <t>Család- és Gyermekjóléti Szolgálat beruházási kiadásai (szoftver beszerzés (Windows 11), asztali számítógép vásárlás 4 db,   törölköző, konyharuha, poharak, kávés csészék)</t>
  </si>
  <si>
    <t>Biztos Kezdet Nyitnikék Gyerekház beruházási kiadásai (asztali számítógép vásárlás 1 db)</t>
  </si>
  <si>
    <t>Klímák, fészekhinta beszerzése</t>
  </si>
  <si>
    <t>Arany J. u. 13, Batthyány u. 14, Bajai u. 4. sz. ingatlanok felújítási kiadásai</t>
  </si>
  <si>
    <t>Batthyány u. 14. sz. telephely felújítása</t>
  </si>
  <si>
    <t>Csatorna beruházáshoz kapcsolódó visszatérítés</t>
  </si>
  <si>
    <t>Ingatlanfejlesztési céltartalék</t>
  </si>
  <si>
    <t>Beruházások összesen:</t>
  </si>
  <si>
    <t>Felújítások összesen:</t>
  </si>
  <si>
    <t>Fejlesztési célú tartalék összesen:</t>
  </si>
  <si>
    <t>Egyéb felhalmozás célú támogatások államháztartáson kívülre összesen:</t>
  </si>
  <si>
    <t>Felhalmozási célú visszatérítendő támogatások, kölcsönök nyújhtása államháztartáson kívülre összesen:</t>
  </si>
  <si>
    <t>Egyéb felhalmozási célú támogatás államháztartáson belülre összesen:</t>
  </si>
  <si>
    <t>Közlekedési táblák beszerzése</t>
  </si>
  <si>
    <t>Batthyány u. 14. sz. beruházási költségek</t>
  </si>
  <si>
    <t>KAP-RD43-1-24 Külterületi utak fejlesztése pályázati önerő</t>
  </si>
  <si>
    <t>Környezeti értékelés eldöntéséhez szükséges dokumentáció elkészítése</t>
  </si>
  <si>
    <t>Bajai u. 2. tér kialakítása, betűk a Bajai u. 2. ingatlanra</t>
  </si>
  <si>
    <t>Jánoshalmi Egészségközpont összesen:</t>
  </si>
  <si>
    <t>HP LaserJet Pro 3002dn Mono Lézernyomtató</t>
  </si>
  <si>
    <t>Informatikai eszközök beszerzése (TP-Link Wifi beszerzés)</t>
  </si>
  <si>
    <t>Szivattyú feljújítás</t>
  </si>
  <si>
    <t>TESCO támogatásból eszközbeszerzések</t>
  </si>
  <si>
    <t>Fűnyíró motor felújítás</t>
  </si>
  <si>
    <t>Szünetmentes tápegység felújítás- Családsegítő Központ</t>
  </si>
  <si>
    <t>Óvoda fenntartásával, üzemeltetésével kapcsolatos eszközbeszerzések (asztali számítógép vásárlása 1 db,  udvari játékok, sportszerek),  (labda, homokozó szett, egyensúlyzó hinta, futóbicikli stb.) Batthyány u. 14. beruházási kiadások</t>
  </si>
  <si>
    <t>Bölcsőde beruházási kiadásai (homokozó eszközök, játékok, sporteszközök, ruhaszárító, kuka, létra, szőnyeg, kazán, fűtőrendszer karbantartása, vízcsere) (Építési jell. beruházási kiadások)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</si>
</sst>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#,##0\ &quot;Ft&quot;"/>
  </numFmts>
  <fonts count="68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sz val="11"/>
      <name val="Times New Roman CE"/>
      <family val="1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name val="Times New Roman CE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9"/>
      <name val="Times New Roman CE"/>
      <charset val="238"/>
    </font>
    <font>
      <i/>
      <sz val="11"/>
      <name val="Times New Roman CE"/>
      <charset val="238"/>
    </font>
    <font>
      <sz val="11"/>
      <color indexed="10"/>
      <name val="Times New Roman CE"/>
      <family val="1"/>
      <charset val="238"/>
    </font>
    <font>
      <i/>
      <sz val="8"/>
      <name val="Times New Roman CE"/>
      <charset val="238"/>
    </font>
    <font>
      <sz val="7"/>
      <name val="Times New Roman"/>
      <family val="1"/>
      <charset val="238"/>
    </font>
    <font>
      <sz val="11"/>
      <name val="Arial CE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color indexed="30"/>
      <name val="Times New Roman"/>
      <family val="1"/>
      <charset val="238"/>
    </font>
    <font>
      <sz val="10"/>
      <color indexed="30"/>
      <name val="Times New Roman"/>
      <family val="1"/>
      <charset val="238"/>
    </font>
    <font>
      <sz val="8"/>
      <color indexed="30"/>
      <name val="Times New Roman"/>
      <family val="1"/>
      <charset val="238"/>
    </font>
    <font>
      <i/>
      <sz val="8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7"/>
      <name val="Times New Roman"/>
      <family val="1"/>
      <charset val="238"/>
    </font>
    <font>
      <i/>
      <sz val="10"/>
      <name val="Times New Roman CE"/>
      <charset val="238"/>
    </font>
    <font>
      <sz val="10"/>
      <name val="Times New Roman CE"/>
      <charset val="238"/>
    </font>
    <font>
      <sz val="12"/>
      <name val="Times New Roman CE"/>
      <family val="1"/>
      <charset val="238"/>
    </font>
    <font>
      <b/>
      <i/>
      <sz val="12"/>
      <name val="Times New Roman"/>
      <family val="1"/>
      <charset val="238"/>
    </font>
    <font>
      <b/>
      <sz val="10"/>
      <color rgb="FF0070C0"/>
      <name val="Times New Roman"/>
      <family val="1"/>
      <charset val="238"/>
    </font>
    <font>
      <b/>
      <sz val="9"/>
      <name val="Times New Roman CE"/>
      <family val="1"/>
      <charset val="238"/>
    </font>
    <font>
      <sz val="8"/>
      <color rgb="FF00B0F0"/>
      <name val="Times New Roman"/>
      <family val="1"/>
      <charset val="238"/>
    </font>
    <font>
      <i/>
      <sz val="8"/>
      <color rgb="FF00B0F0"/>
      <name val="Times New Roman"/>
      <family val="1"/>
      <charset val="238"/>
    </font>
    <font>
      <b/>
      <sz val="10"/>
      <color theme="3" tint="0.39997558519241921"/>
      <name val="Times New Roman"/>
      <family val="1"/>
      <charset val="238"/>
    </font>
    <font>
      <b/>
      <sz val="11"/>
      <name val="Times New Roman CE"/>
      <charset val="238"/>
    </font>
    <font>
      <sz val="10"/>
      <color theme="8" tint="-0.249977111117893"/>
      <name val="Times New Roman"/>
      <family val="1"/>
      <charset val="238"/>
    </font>
    <font>
      <u/>
      <sz val="10"/>
      <name val="Times New Roman CE"/>
      <family val="1"/>
      <charset val="238"/>
    </font>
    <font>
      <sz val="10"/>
      <color theme="8" tint="-0.249977111117893"/>
      <name val="Times New Roman CE"/>
      <family val="1"/>
      <charset val="238"/>
    </font>
    <font>
      <sz val="11"/>
      <color rgb="FF00B0F0"/>
      <name val="Times New Roman CE"/>
      <charset val="238"/>
    </font>
    <font>
      <i/>
      <sz val="11"/>
      <color rgb="FF00B0F0"/>
      <name val="Times New Roman CE"/>
      <charset val="238"/>
    </font>
    <font>
      <b/>
      <sz val="11"/>
      <color rgb="FF7030A0"/>
      <name val="Times New Roman CE"/>
      <family val="1"/>
      <charset val="238"/>
    </font>
    <font>
      <b/>
      <sz val="9"/>
      <color rgb="FF7030A0"/>
      <name val="Times New Roman CE"/>
      <charset val="238"/>
    </font>
    <font>
      <b/>
      <sz val="11"/>
      <color rgb="FF7030A0"/>
      <name val="Times New Roman CE"/>
      <charset val="238"/>
    </font>
    <font>
      <sz val="11"/>
      <color rgb="FF7030A0"/>
      <name val="Times New Roman CE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5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4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8" borderId="0" applyNumberFormat="0" applyBorder="0" applyAlignment="0" applyProtection="0"/>
    <xf numFmtId="0" fontId="9" fillId="13" borderId="0" applyNumberFormat="0" applyBorder="0" applyAlignment="0" applyProtection="0"/>
    <xf numFmtId="0" fontId="9" fillId="15" borderId="0" applyNumberFormat="0" applyBorder="0" applyAlignment="0" applyProtection="0"/>
    <xf numFmtId="0" fontId="10" fillId="7" borderId="1" applyNumberFormat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16" borderId="5" applyNumberFormat="0" applyAlignment="0" applyProtection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" fillId="17" borderId="7" applyNumberFormat="0" applyFont="0" applyAlignment="0" applyProtection="0"/>
    <xf numFmtId="0" fontId="18" fillId="4" borderId="0" applyNumberFormat="0" applyBorder="0" applyAlignment="0" applyProtection="0"/>
    <xf numFmtId="0" fontId="19" fillId="18" borderId="8" applyNumberFormat="0" applyAlignment="0" applyProtection="0"/>
    <xf numFmtId="0" fontId="20" fillId="0" borderId="0" applyNumberFormat="0" applyFill="0" applyBorder="0" applyAlignment="0" applyProtection="0"/>
    <xf numFmtId="0" fontId="7" fillId="0" borderId="0"/>
    <xf numFmtId="0" fontId="21" fillId="0" borderId="9" applyNumberFormat="0" applyFill="0" applyAlignment="0" applyProtection="0"/>
    <xf numFmtId="0" fontId="22" fillId="3" borderId="0" applyNumberFormat="0" applyBorder="0" applyAlignment="0" applyProtection="0"/>
    <xf numFmtId="0" fontId="23" fillId="19" borderId="0" applyNumberFormat="0" applyBorder="0" applyAlignment="0" applyProtection="0"/>
    <xf numFmtId="0" fontId="24" fillId="18" borderId="1" applyNumberFormat="0" applyAlignment="0" applyProtection="0"/>
  </cellStyleXfs>
  <cellXfs count="383">
    <xf numFmtId="0" fontId="0" fillId="0" borderId="0" xfId="0"/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3" fontId="6" fillId="0" borderId="11" xfId="0" applyNumberFormat="1" applyFont="1" applyBorder="1" applyAlignment="1">
      <alignment vertical="center"/>
    </xf>
    <xf numFmtId="2" fontId="6" fillId="0" borderId="11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 wrapText="1"/>
    </xf>
    <xf numFmtId="2" fontId="3" fillId="0" borderId="1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49" fontId="26" fillId="0" borderId="13" xfId="0" applyNumberFormat="1" applyFont="1" applyBorder="1" applyAlignment="1">
      <alignment horizontal="center" vertical="center"/>
    </xf>
    <xf numFmtId="49" fontId="26" fillId="0" borderId="0" xfId="0" applyNumberFormat="1" applyFont="1" applyAlignment="1">
      <alignment horizontal="center" vertical="center"/>
    </xf>
    <xf numFmtId="0" fontId="36" fillId="0" borderId="0" xfId="0" applyFont="1" applyAlignment="1">
      <alignment vertical="center"/>
    </xf>
    <xf numFmtId="0" fontId="33" fillId="0" borderId="14" xfId="0" applyFont="1" applyBorder="1" applyAlignment="1">
      <alignment vertical="center" wrapText="1"/>
    </xf>
    <xf numFmtId="0" fontId="33" fillId="0" borderId="15" xfId="0" applyFont="1" applyBorder="1" applyAlignment="1">
      <alignment vertical="center" wrapText="1"/>
    </xf>
    <xf numFmtId="0" fontId="33" fillId="0" borderId="14" xfId="0" applyFont="1" applyBorder="1" applyAlignment="1">
      <alignment horizontal="left" vertical="center" wrapText="1"/>
    </xf>
    <xf numFmtId="0" fontId="34" fillId="0" borderId="14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6" fillId="0" borderId="19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41" fillId="0" borderId="11" xfId="0" applyFont="1" applyBorder="1" applyAlignment="1">
      <alignment horizontal="center" vertical="center" wrapText="1"/>
    </xf>
    <xf numFmtId="0" fontId="46" fillId="0" borderId="11" xfId="0" applyFont="1" applyBorder="1"/>
    <xf numFmtId="0" fontId="46" fillId="0" borderId="11" xfId="0" applyFont="1" applyBorder="1" applyAlignment="1">
      <alignment horizontal="left"/>
    </xf>
    <xf numFmtId="49" fontId="33" fillId="0" borderId="25" xfId="0" applyNumberFormat="1" applyFont="1" applyBorder="1" applyAlignment="1">
      <alignment horizontal="center" vertical="center"/>
    </xf>
    <xf numFmtId="0" fontId="33" fillId="0" borderId="26" xfId="0" applyFont="1" applyBorder="1" applyAlignment="1">
      <alignment vertical="center" wrapText="1"/>
    </xf>
    <xf numFmtId="49" fontId="26" fillId="0" borderId="27" xfId="0" applyNumberFormat="1" applyFont="1" applyBorder="1" applyAlignment="1">
      <alignment horizontal="center" vertical="center"/>
    </xf>
    <xf numFmtId="0" fontId="33" fillId="0" borderId="32" xfId="0" applyFont="1" applyBorder="1" applyAlignment="1">
      <alignment vertical="center" wrapText="1"/>
    </xf>
    <xf numFmtId="49" fontId="26" fillId="0" borderId="33" xfId="0" applyNumberFormat="1" applyFont="1" applyBorder="1" applyAlignment="1">
      <alignment horizontal="center" vertical="center"/>
    </xf>
    <xf numFmtId="49" fontId="26" fillId="0" borderId="34" xfId="0" applyNumberFormat="1" applyFont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49" fontId="33" fillId="0" borderId="35" xfId="0" applyNumberFormat="1" applyFont="1" applyBorder="1" applyAlignment="1">
      <alignment horizontal="center" vertical="center"/>
    </xf>
    <xf numFmtId="49" fontId="26" fillId="0" borderId="37" xfId="0" applyNumberFormat="1" applyFont="1" applyBorder="1" applyAlignment="1">
      <alignment horizontal="center" vertical="center"/>
    </xf>
    <xf numFmtId="49" fontId="52" fillId="0" borderId="35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3" fontId="3" fillId="0" borderId="11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3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33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right" vertical="center"/>
    </xf>
    <xf numFmtId="0" fontId="27" fillId="0" borderId="0" xfId="0" applyFont="1"/>
    <xf numFmtId="0" fontId="40" fillId="0" borderId="0" xfId="0" applyFont="1" applyAlignment="1">
      <alignment horizontal="center"/>
    </xf>
    <xf numFmtId="0" fontId="42" fillId="0" borderId="0" xfId="0" applyFont="1"/>
    <xf numFmtId="0" fontId="43" fillId="0" borderId="11" xfId="0" applyFont="1" applyBorder="1"/>
    <xf numFmtId="3" fontId="43" fillId="0" borderId="11" xfId="0" applyNumberFormat="1" applyFont="1" applyBorder="1"/>
    <xf numFmtId="4" fontId="53" fillId="0" borderId="11" xfId="0" applyNumberFormat="1" applyFont="1" applyBorder="1"/>
    <xf numFmtId="0" fontId="44" fillId="0" borderId="0" xfId="0" applyFont="1"/>
    <xf numFmtId="0" fontId="26" fillId="0" borderId="11" xfId="0" applyFont="1" applyBorder="1"/>
    <xf numFmtId="3" fontId="26" fillId="0" borderId="11" xfId="0" applyNumberFormat="1" applyFont="1" applyBorder="1"/>
    <xf numFmtId="4" fontId="27" fillId="0" borderId="11" xfId="0" applyNumberFormat="1" applyFont="1" applyBorder="1"/>
    <xf numFmtId="0" fontId="31" fillId="0" borderId="11" xfId="0" applyFont="1" applyBorder="1"/>
    <xf numFmtId="3" fontId="31" fillId="0" borderId="11" xfId="0" applyNumberFormat="1" applyFont="1" applyBorder="1"/>
    <xf numFmtId="0" fontId="45" fillId="0" borderId="11" xfId="0" applyFont="1" applyBorder="1"/>
    <xf numFmtId="0" fontId="27" fillId="0" borderId="11" xfId="0" applyFont="1" applyBorder="1"/>
    <xf numFmtId="4" fontId="27" fillId="0" borderId="11" xfId="0" applyNumberFormat="1" applyFont="1" applyBorder="1" applyAlignment="1">
      <alignment horizontal="right"/>
    </xf>
    <xf numFmtId="3" fontId="46" fillId="0" borderId="11" xfId="0" applyNumberFormat="1" applyFont="1" applyBorder="1"/>
    <xf numFmtId="0" fontId="47" fillId="0" borderId="11" xfId="0" applyFont="1" applyBorder="1"/>
    <xf numFmtId="0" fontId="46" fillId="0" borderId="11" xfId="0" applyFont="1" applyBorder="1" applyAlignment="1">
      <alignment horizontal="left" vertical="center" wrapText="1"/>
    </xf>
    <xf numFmtId="0" fontId="26" fillId="0" borderId="11" xfId="0" applyFont="1" applyBorder="1" applyAlignment="1">
      <alignment vertical="center"/>
    </xf>
    <xf numFmtId="3" fontId="53" fillId="0" borderId="11" xfId="0" applyNumberFormat="1" applyFont="1" applyBorder="1"/>
    <xf numFmtId="0" fontId="38" fillId="0" borderId="11" xfId="0" applyFont="1" applyBorder="1"/>
    <xf numFmtId="3" fontId="38" fillId="0" borderId="11" xfId="0" applyNumberFormat="1" applyFont="1" applyBorder="1"/>
    <xf numFmtId="0" fontId="48" fillId="0" borderId="11" xfId="0" applyFont="1" applyBorder="1"/>
    <xf numFmtId="0" fontId="48" fillId="0" borderId="11" xfId="0" applyFont="1" applyBorder="1" applyAlignment="1">
      <alignment horizontal="right"/>
    </xf>
    <xf numFmtId="3" fontId="48" fillId="0" borderId="11" xfId="0" applyNumberFormat="1" applyFont="1" applyBorder="1"/>
    <xf numFmtId="0" fontId="47" fillId="0" borderId="0" xfId="0" applyFont="1"/>
    <xf numFmtId="3" fontId="41" fillId="0" borderId="11" xfId="0" applyNumberFormat="1" applyFont="1" applyBorder="1"/>
    <xf numFmtId="4" fontId="41" fillId="0" borderId="11" xfId="0" applyNumberFormat="1" applyFont="1" applyBorder="1"/>
    <xf numFmtId="4" fontId="43" fillId="0" borderId="11" xfId="0" applyNumberFormat="1" applyFont="1" applyBorder="1"/>
    <xf numFmtId="3" fontId="41" fillId="0" borderId="11" xfId="0" applyNumberFormat="1" applyFont="1" applyBorder="1" applyAlignment="1">
      <alignment vertical="center"/>
    </xf>
    <xf numFmtId="4" fontId="41" fillId="0" borderId="11" xfId="0" applyNumberFormat="1" applyFont="1" applyBorder="1" applyAlignment="1">
      <alignment vertical="center"/>
    </xf>
    <xf numFmtId="0" fontId="42" fillId="0" borderId="0" xfId="0" applyFont="1" applyAlignment="1">
      <alignment vertical="center"/>
    </xf>
    <xf numFmtId="3" fontId="28" fillId="0" borderId="11" xfId="0" applyNumberFormat="1" applyFont="1" applyBorder="1"/>
    <xf numFmtId="3" fontId="27" fillId="0" borderId="11" xfId="0" applyNumberFormat="1" applyFont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38" xfId="0" applyFont="1" applyBorder="1" applyAlignment="1">
      <alignment horizontal="center"/>
    </xf>
    <xf numFmtId="0" fontId="3" fillId="0" borderId="39" xfId="0" applyFont="1" applyBorder="1" applyAlignment="1">
      <alignment vertical="center"/>
    </xf>
    <xf numFmtId="0" fontId="3" fillId="0" borderId="40" xfId="0" applyFont="1" applyBorder="1"/>
    <xf numFmtId="0" fontId="3" fillId="0" borderId="41" xfId="0" applyFont="1" applyBorder="1"/>
    <xf numFmtId="0" fontId="3" fillId="0" borderId="0" xfId="0" applyFont="1"/>
    <xf numFmtId="0" fontId="29" fillId="0" borderId="14" xfId="0" applyFont="1" applyBorder="1"/>
    <xf numFmtId="3" fontId="29" fillId="0" borderId="11" xfId="0" applyNumberFormat="1" applyFont="1" applyBorder="1"/>
    <xf numFmtId="2" fontId="29" fillId="0" borderId="23" xfId="0" applyNumberFormat="1" applyFont="1" applyBorder="1"/>
    <xf numFmtId="0" fontId="29" fillId="0" borderId="0" xfId="0" applyFont="1"/>
    <xf numFmtId="0" fontId="2" fillId="0" borderId="42" xfId="0" applyFont="1" applyBorder="1" applyAlignment="1">
      <alignment horizontal="left" indent="1"/>
    </xf>
    <xf numFmtId="3" fontId="2" fillId="0" borderId="12" xfId="0" applyNumberFormat="1" applyFont="1" applyBorder="1"/>
    <xf numFmtId="2" fontId="2" fillId="0" borderId="23" xfId="0" applyNumberFormat="1" applyFont="1" applyBorder="1"/>
    <xf numFmtId="0" fontId="2" fillId="0" borderId="14" xfId="0" applyFont="1" applyBorder="1" applyAlignment="1">
      <alignment horizontal="left" indent="1"/>
    </xf>
    <xf numFmtId="3" fontId="2" fillId="0" borderId="11" xfId="0" applyNumberFormat="1" applyFont="1" applyBorder="1"/>
    <xf numFmtId="0" fontId="37" fillId="0" borderId="14" xfId="0" applyFont="1" applyBorder="1" applyAlignment="1">
      <alignment horizontal="left" indent="1"/>
    </xf>
    <xf numFmtId="3" fontId="37" fillId="0" borderId="11" xfId="0" applyNumberFormat="1" applyFont="1" applyBorder="1"/>
    <xf numFmtId="3" fontId="37" fillId="0" borderId="12" xfId="0" applyNumberFormat="1" applyFont="1" applyBorder="1"/>
    <xf numFmtId="0" fontId="49" fillId="0" borderId="0" xfId="0" applyFont="1"/>
    <xf numFmtId="0" fontId="49" fillId="0" borderId="14" xfId="0" applyFont="1" applyBorder="1" applyAlignment="1">
      <alignment horizontal="left" indent="1"/>
    </xf>
    <xf numFmtId="4" fontId="27" fillId="0" borderId="23" xfId="0" applyNumberFormat="1" applyFont="1" applyBorder="1" applyAlignment="1">
      <alignment horizontal="right"/>
    </xf>
    <xf numFmtId="0" fontId="3" fillId="0" borderId="36" xfId="0" applyFont="1" applyBorder="1"/>
    <xf numFmtId="3" fontId="3" fillId="0" borderId="22" xfId="0" applyNumberFormat="1" applyFont="1" applyBorder="1"/>
    <xf numFmtId="2" fontId="3" fillId="0" borderId="30" xfId="0" applyNumberFormat="1" applyFont="1" applyBorder="1"/>
    <xf numFmtId="2" fontId="2" fillId="0" borderId="24" xfId="0" applyNumberFormat="1" applyFont="1" applyBorder="1"/>
    <xf numFmtId="0" fontId="41" fillId="0" borderId="40" xfId="0" applyFont="1" applyBorder="1" applyAlignment="1">
      <alignment horizontal="left" wrapText="1"/>
    </xf>
    <xf numFmtId="0" fontId="41" fillId="0" borderId="41" xfId="0" applyFont="1" applyBorder="1" applyAlignment="1">
      <alignment horizontal="left" wrapText="1"/>
    </xf>
    <xf numFmtId="3" fontId="50" fillId="0" borderId="11" xfId="0" applyNumberFormat="1" applyFont="1" applyBorder="1"/>
    <xf numFmtId="0" fontId="5" fillId="0" borderId="26" xfId="0" applyFont="1" applyBorder="1" applyAlignment="1">
      <alignment vertical="center" wrapText="1"/>
    </xf>
    <xf numFmtId="3" fontId="5" fillId="0" borderId="43" xfId="0" applyNumberFormat="1" applyFont="1" applyBorder="1" applyAlignment="1">
      <alignment vertical="center"/>
    </xf>
    <xf numFmtId="2" fontId="5" fillId="0" borderId="31" xfId="0" applyNumberFormat="1" applyFont="1" applyBorder="1" applyAlignment="1">
      <alignment vertical="center"/>
    </xf>
    <xf numFmtId="0" fontId="51" fillId="0" borderId="0" xfId="0" applyFont="1"/>
    <xf numFmtId="0" fontId="31" fillId="0" borderId="0" xfId="0" applyFont="1" applyAlignment="1">
      <alignment horizontal="center" vertical="center"/>
    </xf>
    <xf numFmtId="0" fontId="31" fillId="0" borderId="0" xfId="0" applyFont="1"/>
    <xf numFmtId="0" fontId="38" fillId="0" borderId="0" xfId="0" applyFont="1"/>
    <xf numFmtId="0" fontId="27" fillId="0" borderId="0" xfId="0" applyFont="1" applyAlignment="1">
      <alignment horizontal="right"/>
    </xf>
    <xf numFmtId="0" fontId="26" fillId="0" borderId="0" xfId="0" applyFont="1"/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center"/>
    </xf>
    <xf numFmtId="0" fontId="32" fillId="0" borderId="16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3" fontId="31" fillId="0" borderId="16" xfId="0" applyNumberFormat="1" applyFont="1" applyBorder="1" applyAlignment="1">
      <alignment horizontal="right" vertical="center" wrapText="1"/>
    </xf>
    <xf numFmtId="3" fontId="31" fillId="0" borderId="11" xfId="0" applyNumberFormat="1" applyFont="1" applyBorder="1" applyAlignment="1">
      <alignment horizontal="right" vertical="center" wrapText="1"/>
    </xf>
    <xf numFmtId="2" fontId="31" fillId="0" borderId="23" xfId="0" applyNumberFormat="1" applyFont="1" applyBorder="1" applyAlignment="1">
      <alignment horizontal="right" vertical="center"/>
    </xf>
    <xf numFmtId="2" fontId="31" fillId="0" borderId="23" xfId="0" applyNumberFormat="1" applyFont="1" applyBorder="1" applyAlignment="1">
      <alignment vertical="center"/>
    </xf>
    <xf numFmtId="3" fontId="31" fillId="0" borderId="11" xfId="0" applyNumberFormat="1" applyFont="1" applyBorder="1" applyAlignment="1">
      <alignment horizontal="right" vertical="center"/>
    </xf>
    <xf numFmtId="3" fontId="31" fillId="0" borderId="16" xfId="0" applyNumberFormat="1" applyFont="1" applyBorder="1" applyAlignment="1">
      <alignment horizontal="right" vertical="center"/>
    </xf>
    <xf numFmtId="3" fontId="31" fillId="0" borderId="10" xfId="0" applyNumberFormat="1" applyFont="1" applyBorder="1" applyAlignment="1">
      <alignment horizontal="right" vertical="center"/>
    </xf>
    <xf numFmtId="3" fontId="31" fillId="0" borderId="44" xfId="0" applyNumberFormat="1" applyFont="1" applyBorder="1" applyAlignment="1">
      <alignment horizontal="right" vertical="center"/>
    </xf>
    <xf numFmtId="3" fontId="31" fillId="0" borderId="19" xfId="0" applyNumberFormat="1" applyFont="1" applyBorder="1" applyAlignment="1">
      <alignment horizontal="right" vertical="center"/>
    </xf>
    <xf numFmtId="3" fontId="31" fillId="0" borderId="38" xfId="0" applyNumberFormat="1" applyFont="1" applyBorder="1" applyAlignment="1">
      <alignment horizontal="right" vertical="center"/>
    </xf>
    <xf numFmtId="2" fontId="31" fillId="0" borderId="17" xfId="0" applyNumberFormat="1" applyFont="1" applyBorder="1" applyAlignment="1">
      <alignment horizontal="right" vertical="center"/>
    </xf>
    <xf numFmtId="2" fontId="31" fillId="0" borderId="18" xfId="0" applyNumberFormat="1" applyFont="1" applyBorder="1" applyAlignment="1">
      <alignment horizontal="right" vertical="center"/>
    </xf>
    <xf numFmtId="3" fontId="32" fillId="0" borderId="43" xfId="0" applyNumberFormat="1" applyFont="1" applyBorder="1" applyAlignment="1">
      <alignment vertical="center"/>
    </xf>
    <xf numFmtId="2" fontId="32" fillId="0" borderId="31" xfId="0" applyNumberFormat="1" applyFont="1" applyBorder="1" applyAlignment="1">
      <alignment horizontal="right" vertical="center"/>
    </xf>
    <xf numFmtId="3" fontId="32" fillId="0" borderId="45" xfId="0" applyNumberFormat="1" applyFont="1" applyBorder="1" applyAlignment="1">
      <alignment vertical="center"/>
    </xf>
    <xf numFmtId="2" fontId="32" fillId="0" borderId="31" xfId="0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3" fontId="31" fillId="0" borderId="46" xfId="0" applyNumberFormat="1" applyFont="1" applyBorder="1" applyAlignment="1">
      <alignment horizontal="right" vertical="center" wrapText="1"/>
    </xf>
    <xf numFmtId="2" fontId="31" fillId="0" borderId="47" xfId="0" applyNumberFormat="1" applyFont="1" applyBorder="1" applyAlignment="1">
      <alignment horizontal="right" vertical="center"/>
    </xf>
    <xf numFmtId="3" fontId="31" fillId="0" borderId="48" xfId="0" applyNumberFormat="1" applyFont="1" applyBorder="1" applyAlignment="1">
      <alignment horizontal="right" vertical="center" wrapText="1"/>
    </xf>
    <xf numFmtId="2" fontId="31" fillId="0" borderId="47" xfId="0" applyNumberFormat="1" applyFont="1" applyBorder="1" applyAlignment="1">
      <alignment vertical="center"/>
    </xf>
    <xf numFmtId="2" fontId="31" fillId="0" borderId="22" xfId="0" applyNumberFormat="1" applyFont="1" applyBorder="1" applyAlignment="1">
      <alignment horizontal="right" vertical="center"/>
    </xf>
    <xf numFmtId="3" fontId="31" fillId="0" borderId="12" xfId="0" applyNumberFormat="1" applyFont="1" applyBorder="1" applyAlignment="1">
      <alignment horizontal="right" vertical="center" wrapText="1"/>
    </xf>
    <xf numFmtId="2" fontId="31" fillId="0" borderId="24" xfId="0" applyNumberFormat="1" applyFont="1" applyBorder="1" applyAlignment="1">
      <alignment vertical="center"/>
    </xf>
    <xf numFmtId="3" fontId="31" fillId="0" borderId="49" xfId="0" applyNumberFormat="1" applyFont="1" applyBorder="1" applyAlignment="1">
      <alignment horizontal="right" vertical="center" wrapText="1"/>
    </xf>
    <xf numFmtId="0" fontId="26" fillId="0" borderId="0" xfId="0" applyFont="1" applyAlignment="1">
      <alignment horizontal="center" vertical="center"/>
    </xf>
    <xf numFmtId="49" fontId="52" fillId="0" borderId="25" xfId="0" applyNumberFormat="1" applyFont="1" applyBorder="1" applyAlignment="1">
      <alignment horizontal="center" vertical="center"/>
    </xf>
    <xf numFmtId="0" fontId="52" fillId="0" borderId="26" xfId="0" applyFont="1" applyBorder="1" applyAlignment="1">
      <alignment vertical="center" wrapText="1"/>
    </xf>
    <xf numFmtId="3" fontId="52" fillId="0" borderId="43" xfId="0" applyNumberFormat="1" applyFont="1" applyBorder="1" applyAlignment="1">
      <alignment vertical="center"/>
    </xf>
    <xf numFmtId="2" fontId="52" fillId="0" borderId="31" xfId="0" applyNumberFormat="1" applyFont="1" applyBorder="1" applyAlignment="1">
      <alignment horizontal="right" vertical="center"/>
    </xf>
    <xf numFmtId="2" fontId="52" fillId="0" borderId="31" xfId="0" applyNumberFormat="1" applyFont="1" applyBorder="1" applyAlignment="1">
      <alignment vertical="center"/>
    </xf>
    <xf numFmtId="0" fontId="52" fillId="0" borderId="0" xfId="0" applyFont="1" applyAlignment="1">
      <alignment vertical="center"/>
    </xf>
    <xf numFmtId="49" fontId="26" fillId="20" borderId="13" xfId="0" applyNumberFormat="1" applyFont="1" applyFill="1" applyBorder="1" applyAlignment="1">
      <alignment horizontal="center" vertical="center"/>
    </xf>
    <xf numFmtId="2" fontId="31" fillId="0" borderId="62" xfId="0" applyNumberFormat="1" applyFont="1" applyBorder="1" applyAlignment="1">
      <alignment horizontal="right" vertical="center"/>
    </xf>
    <xf numFmtId="2" fontId="31" fillId="0" borderId="62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34" fillId="0" borderId="42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3" fontId="31" fillId="0" borderId="17" xfId="0" applyNumberFormat="1" applyFont="1" applyBorder="1" applyAlignment="1">
      <alignment horizontal="right" vertical="center"/>
    </xf>
    <xf numFmtId="3" fontId="31" fillId="0" borderId="22" xfId="0" applyNumberFormat="1" applyFont="1" applyBorder="1" applyAlignment="1">
      <alignment horizontal="right" vertical="center"/>
    </xf>
    <xf numFmtId="0" fontId="34" fillId="0" borderId="23" xfId="0" applyFont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4" fillId="0" borderId="36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30" fillId="0" borderId="20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28" xfId="0" applyFont="1" applyBorder="1" applyAlignment="1">
      <alignment vertical="center"/>
    </xf>
    <xf numFmtId="0" fontId="3" fillId="0" borderId="58" xfId="0" applyFont="1" applyBorder="1" applyAlignment="1">
      <alignment vertical="center"/>
    </xf>
    <xf numFmtId="0" fontId="25" fillId="0" borderId="19" xfId="0" applyFont="1" applyBorder="1" applyAlignment="1">
      <alignment horizontal="left" vertical="center" wrapText="1"/>
    </xf>
    <xf numFmtId="0" fontId="34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1" xfId="0" applyFont="1" applyBorder="1" applyAlignment="1">
      <alignment horizontal="left" vertical="center"/>
    </xf>
    <xf numFmtId="0" fontId="25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30" fillId="0" borderId="23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54" fillId="0" borderId="0" xfId="0" applyFont="1" applyAlignment="1">
      <alignment horizontal="center" vertical="center" wrapText="1"/>
    </xf>
    <xf numFmtId="2" fontId="31" fillId="0" borderId="30" xfId="0" applyNumberFormat="1" applyFont="1" applyBorder="1" applyAlignment="1">
      <alignment horizontal="right" vertical="center"/>
    </xf>
    <xf numFmtId="0" fontId="30" fillId="0" borderId="17" xfId="0" applyFont="1" applyBorder="1" applyAlignment="1">
      <alignment horizontal="left" vertical="center"/>
    </xf>
    <xf numFmtId="0" fontId="30" fillId="0" borderId="19" xfId="0" applyFont="1" applyBorder="1" applyAlignment="1">
      <alignment horizontal="left" vertical="center"/>
    </xf>
    <xf numFmtId="2" fontId="31" fillId="0" borderId="11" xfId="0" applyNumberFormat="1" applyFont="1" applyBorder="1" applyAlignment="1">
      <alignment horizontal="right" vertical="center"/>
    </xf>
    <xf numFmtId="2" fontId="31" fillId="0" borderId="65" xfId="0" applyNumberFormat="1" applyFont="1" applyBorder="1" applyAlignment="1">
      <alignment horizontal="right" vertical="center"/>
    </xf>
    <xf numFmtId="3" fontId="31" fillId="0" borderId="14" xfId="0" applyNumberFormat="1" applyFont="1" applyBorder="1" applyAlignment="1">
      <alignment horizontal="right" vertical="center"/>
    </xf>
    <xf numFmtId="2" fontId="31" fillId="0" borderId="14" xfId="0" applyNumberFormat="1" applyFont="1" applyBorder="1" applyAlignment="1">
      <alignment horizontal="right" vertical="center"/>
    </xf>
    <xf numFmtId="2" fontId="31" fillId="0" borderId="36" xfId="0" applyNumberFormat="1" applyFont="1" applyBorder="1" applyAlignment="1">
      <alignment horizontal="right" vertical="center"/>
    </xf>
    <xf numFmtId="3" fontId="55" fillId="0" borderId="11" xfId="0" applyNumberFormat="1" applyFont="1" applyBorder="1"/>
    <xf numFmtId="3" fontId="56" fillId="0" borderId="11" xfId="0" applyNumberFormat="1" applyFont="1" applyBorder="1"/>
    <xf numFmtId="3" fontId="57" fillId="0" borderId="11" xfId="0" applyNumberFormat="1" applyFont="1" applyBorder="1"/>
    <xf numFmtId="3" fontId="50" fillId="0" borderId="12" xfId="0" applyNumberFormat="1" applyFont="1" applyBorder="1"/>
    <xf numFmtId="3" fontId="3" fillId="0" borderId="0" xfId="0" applyNumberFormat="1" applyFont="1"/>
    <xf numFmtId="2" fontId="3" fillId="0" borderId="0" xfId="0" applyNumberFormat="1" applyFont="1"/>
    <xf numFmtId="0" fontId="41" fillId="0" borderId="0" xfId="0" applyFont="1" applyAlignment="1">
      <alignment horizontal="left" vertical="center" wrapText="1"/>
    </xf>
    <xf numFmtId="3" fontId="41" fillId="0" borderId="0" xfId="0" applyNumberFormat="1" applyFont="1" applyAlignment="1">
      <alignment vertical="center"/>
    </xf>
    <xf numFmtId="4" fontId="41" fillId="0" borderId="0" xfId="0" applyNumberFormat="1" applyFont="1" applyAlignment="1">
      <alignment vertical="center"/>
    </xf>
    <xf numFmtId="0" fontId="25" fillId="0" borderId="11" xfId="0" applyFont="1" applyBorder="1" applyAlignment="1">
      <alignment vertical="center" wrapText="1"/>
    </xf>
    <xf numFmtId="165" fontId="25" fillId="0" borderId="11" xfId="0" applyNumberFormat="1" applyFont="1" applyBorder="1" applyAlignment="1">
      <alignment vertical="center"/>
    </xf>
    <xf numFmtId="165" fontId="25" fillId="0" borderId="51" xfId="0" applyNumberFormat="1" applyFont="1" applyBorder="1" applyAlignment="1">
      <alignment vertical="center"/>
    </xf>
    <xf numFmtId="165" fontId="25" fillId="0" borderId="17" xfId="0" applyNumberFormat="1" applyFont="1" applyBorder="1" applyAlignment="1">
      <alignment vertical="center"/>
    </xf>
    <xf numFmtId="49" fontId="33" fillId="0" borderId="27" xfId="0" applyNumberFormat="1" applyFont="1" applyBorder="1" applyAlignment="1">
      <alignment horizontal="center" vertical="center"/>
    </xf>
    <xf numFmtId="4" fontId="59" fillId="0" borderId="11" xfId="0" applyNumberFormat="1" applyFont="1" applyBorder="1" applyAlignment="1">
      <alignment horizontal="right"/>
    </xf>
    <xf numFmtId="0" fontId="60" fillId="0" borderId="0" xfId="0" applyFont="1"/>
    <xf numFmtId="3" fontId="29" fillId="0" borderId="0" xfId="0" applyNumberFormat="1" applyFont="1"/>
    <xf numFmtId="3" fontId="2" fillId="0" borderId="0" xfId="0" applyNumberFormat="1" applyFont="1"/>
    <xf numFmtId="3" fontId="60" fillId="0" borderId="0" xfId="0" applyNumberFormat="1" applyFont="1"/>
    <xf numFmtId="3" fontId="61" fillId="0" borderId="0" xfId="0" applyNumberFormat="1" applyFont="1"/>
    <xf numFmtId="3" fontId="27" fillId="0" borderId="0" xfId="0" applyNumberFormat="1" applyFont="1"/>
    <xf numFmtId="3" fontId="44" fillId="0" borderId="0" xfId="0" applyNumberFormat="1" applyFont="1"/>
    <xf numFmtId="2" fontId="2" fillId="0" borderId="18" xfId="0" applyNumberFormat="1" applyFont="1" applyBorder="1"/>
    <xf numFmtId="2" fontId="50" fillId="0" borderId="18" xfId="0" applyNumberFormat="1" applyFont="1" applyBorder="1"/>
    <xf numFmtId="4" fontId="27" fillId="0" borderId="18" xfId="0" applyNumberFormat="1" applyFont="1" applyBorder="1" applyAlignment="1">
      <alignment horizontal="right"/>
    </xf>
    <xf numFmtId="2" fontId="29" fillId="0" borderId="18" xfId="0" applyNumberFormat="1" applyFont="1" applyBorder="1"/>
    <xf numFmtId="0" fontId="30" fillId="0" borderId="18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9" fillId="0" borderId="0" xfId="0" applyFont="1"/>
    <xf numFmtId="0" fontId="25" fillId="0" borderId="19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62" fillId="0" borderId="0" xfId="0" applyFont="1" applyAlignment="1">
      <alignment vertical="center"/>
    </xf>
    <xf numFmtId="0" fontId="3" fillId="0" borderId="66" xfId="0" applyFont="1" applyBorder="1" applyAlignment="1">
      <alignment horizontal="left" vertical="center"/>
    </xf>
    <xf numFmtId="0" fontId="62" fillId="0" borderId="11" xfId="0" applyFont="1" applyBorder="1" applyAlignment="1">
      <alignment vertical="center" wrapText="1"/>
    </xf>
    <xf numFmtId="0" fontId="63" fillId="0" borderId="0" xfId="0" applyFont="1" applyAlignment="1">
      <alignment vertical="center"/>
    </xf>
    <xf numFmtId="165" fontId="3" fillId="0" borderId="68" xfId="0" applyNumberFormat="1" applyFont="1" applyBorder="1" applyAlignment="1">
      <alignment vertical="center"/>
    </xf>
    <xf numFmtId="0" fontId="35" fillId="0" borderId="0" xfId="0" applyFont="1" applyAlignment="1">
      <alignment vertical="center"/>
    </xf>
    <xf numFmtId="0" fontId="25" fillId="0" borderId="16" xfId="0" applyFont="1" applyBorder="1" applyAlignment="1">
      <alignment horizontal="left" vertical="center" wrapText="1"/>
    </xf>
    <xf numFmtId="3" fontId="6" fillId="0" borderId="67" xfId="0" applyNumberFormat="1" applyFont="1" applyBorder="1" applyAlignment="1">
      <alignment horizontal="right" vertical="center"/>
    </xf>
    <xf numFmtId="3" fontId="3" fillId="0" borderId="68" xfId="0" applyNumberFormat="1" applyFont="1" applyBorder="1" applyAlignment="1">
      <alignment vertical="center"/>
    </xf>
    <xf numFmtId="0" fontId="34" fillId="0" borderId="15" xfId="0" applyFont="1" applyBorder="1" applyAlignment="1">
      <alignment horizontal="center" vertical="center"/>
    </xf>
    <xf numFmtId="0" fontId="34" fillId="0" borderId="69" xfId="0" applyFont="1" applyBorder="1" applyAlignment="1">
      <alignment horizontal="center" vertical="center"/>
    </xf>
    <xf numFmtId="0" fontId="62" fillId="0" borderId="17" xfId="0" applyFont="1" applyBorder="1" applyAlignment="1">
      <alignment vertical="center" wrapText="1"/>
    </xf>
    <xf numFmtId="0" fontId="25" fillId="0" borderId="20" xfId="0" applyFont="1" applyBorder="1" applyAlignment="1">
      <alignment horizontal="left" vertical="center" wrapText="1"/>
    </xf>
    <xf numFmtId="0" fontId="3" fillId="0" borderId="50" xfId="0" applyFont="1" applyBorder="1" applyAlignment="1">
      <alignment vertical="center"/>
    </xf>
    <xf numFmtId="0" fontId="36" fillId="0" borderId="35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30" fillId="0" borderId="67" xfId="0" applyFont="1" applyBorder="1" applyAlignment="1">
      <alignment horizontal="left" vertical="center"/>
    </xf>
    <xf numFmtId="0" fontId="62" fillId="0" borderId="23" xfId="0" applyFont="1" applyBorder="1" applyAlignment="1">
      <alignment vertical="center" wrapText="1"/>
    </xf>
    <xf numFmtId="0" fontId="3" fillId="0" borderId="68" xfId="0" applyFont="1" applyBorder="1" applyAlignment="1">
      <alignment vertical="center"/>
    </xf>
    <xf numFmtId="0" fontId="25" fillId="0" borderId="23" xfId="0" applyFont="1" applyBorder="1" applyAlignment="1">
      <alignment vertical="center" wrapText="1"/>
    </xf>
    <xf numFmtId="0" fontId="25" fillId="0" borderId="67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64" fillId="0" borderId="22" xfId="0" applyFont="1" applyBorder="1" applyAlignment="1">
      <alignment vertical="center"/>
    </xf>
    <xf numFmtId="0" fontId="64" fillId="0" borderId="29" xfId="0" applyFont="1" applyBorder="1" applyAlignment="1">
      <alignment vertical="center"/>
    </xf>
    <xf numFmtId="165" fontId="35" fillId="0" borderId="17" xfId="0" applyNumberFormat="1" applyFont="1" applyBorder="1" applyAlignment="1">
      <alignment vertical="center"/>
    </xf>
    <xf numFmtId="0" fontId="65" fillId="0" borderId="14" xfId="0" applyFont="1" applyBorder="1" applyAlignment="1">
      <alignment horizontal="center" vertical="center"/>
    </xf>
    <xf numFmtId="0" fontId="66" fillId="0" borderId="29" xfId="0" applyFont="1" applyBorder="1" applyAlignment="1">
      <alignment vertical="center"/>
    </xf>
    <xf numFmtId="0" fontId="66" fillId="0" borderId="22" xfId="0" applyFont="1" applyBorder="1" applyAlignment="1">
      <alignment vertical="center"/>
    </xf>
    <xf numFmtId="0" fontId="66" fillId="0" borderId="0" xfId="0" applyFont="1" applyAlignment="1">
      <alignment vertical="center"/>
    </xf>
    <xf numFmtId="0" fontId="67" fillId="0" borderId="0" xfId="0" applyFont="1" applyAlignment="1">
      <alignment vertical="center"/>
    </xf>
    <xf numFmtId="0" fontId="67" fillId="0" borderId="35" xfId="0" applyFont="1" applyBorder="1" applyAlignment="1">
      <alignment vertical="center"/>
    </xf>
    <xf numFmtId="0" fontId="66" fillId="0" borderId="11" xfId="0" applyFont="1" applyBorder="1" applyAlignment="1">
      <alignment vertical="center"/>
    </xf>
    <xf numFmtId="165" fontId="25" fillId="20" borderId="17" xfId="0" applyNumberFormat="1" applyFont="1" applyFill="1" applyBorder="1" applyAlignment="1">
      <alignment vertical="center"/>
    </xf>
    <xf numFmtId="165" fontId="25" fillId="20" borderId="51" xfId="0" applyNumberFormat="1" applyFont="1" applyFill="1" applyBorder="1" applyAlignment="1">
      <alignment vertical="center"/>
    </xf>
    <xf numFmtId="165" fontId="35" fillId="20" borderId="17" xfId="0" applyNumberFormat="1" applyFont="1" applyFill="1" applyBorder="1" applyAlignment="1">
      <alignment vertical="center"/>
    </xf>
    <xf numFmtId="165" fontId="64" fillId="0" borderId="70" xfId="0" applyNumberFormat="1" applyFont="1" applyBorder="1" applyAlignment="1">
      <alignment vertical="center"/>
    </xf>
    <xf numFmtId="3" fontId="30" fillId="0" borderId="19" xfId="0" applyNumberFormat="1" applyFont="1" applyBorder="1" applyAlignment="1">
      <alignment horizontal="left" vertical="center"/>
    </xf>
    <xf numFmtId="165" fontId="30" fillId="0" borderId="51" xfId="0" applyNumberFormat="1" applyFont="1" applyBorder="1" applyAlignment="1">
      <alignment horizontal="right" vertical="center"/>
    </xf>
    <xf numFmtId="3" fontId="30" fillId="0" borderId="20" xfId="0" applyNumberFormat="1" applyFont="1" applyBorder="1" applyAlignment="1">
      <alignment horizontal="left" vertical="center"/>
    </xf>
    <xf numFmtId="165" fontId="62" fillId="0" borderId="17" xfId="0" applyNumberFormat="1" applyFont="1" applyBorder="1" applyAlignment="1">
      <alignment vertical="center"/>
    </xf>
    <xf numFmtId="0" fontId="6" fillId="0" borderId="59" xfId="0" applyFont="1" applyBorder="1" applyAlignment="1">
      <alignment vertical="center"/>
    </xf>
    <xf numFmtId="0" fontId="6" fillId="0" borderId="71" xfId="0" applyFont="1" applyBorder="1" applyAlignment="1">
      <alignment vertical="center"/>
    </xf>
    <xf numFmtId="0" fontId="36" fillId="0" borderId="65" xfId="0" applyFont="1" applyBorder="1" applyAlignment="1">
      <alignment vertical="center"/>
    </xf>
    <xf numFmtId="0" fontId="67" fillId="0" borderId="65" xfId="0" applyFont="1" applyBorder="1" applyAlignment="1">
      <alignment vertical="center"/>
    </xf>
    <xf numFmtId="0" fontId="6" fillId="0" borderId="57" xfId="0" applyFont="1" applyBorder="1" applyAlignment="1">
      <alignment vertical="center"/>
    </xf>
    <xf numFmtId="0" fontId="6" fillId="0" borderId="41" xfId="0" applyFont="1" applyBorder="1" applyAlignment="1">
      <alignment vertical="center"/>
    </xf>
    <xf numFmtId="165" fontId="35" fillId="0" borderId="11" xfId="0" applyNumberFormat="1" applyFont="1" applyBorder="1" applyAlignment="1">
      <alignment vertical="center"/>
    </xf>
    <xf numFmtId="165" fontId="66" fillId="0" borderId="11" xfId="0" applyNumberFormat="1" applyFont="1" applyBorder="1" applyAlignment="1">
      <alignment vertical="center"/>
    </xf>
    <xf numFmtId="165" fontId="66" fillId="0" borderId="22" xfId="0" applyNumberFormat="1" applyFont="1" applyBorder="1" applyAlignment="1">
      <alignment vertical="center"/>
    </xf>
    <xf numFmtId="165" fontId="64" fillId="0" borderId="22" xfId="0" applyNumberFormat="1" applyFont="1" applyBorder="1" applyAlignment="1">
      <alignment vertical="center"/>
    </xf>
    <xf numFmtId="165" fontId="3" fillId="0" borderId="22" xfId="0" applyNumberFormat="1" applyFont="1" applyBorder="1" applyAlignment="1">
      <alignment vertical="center"/>
    </xf>
    <xf numFmtId="10" fontId="25" fillId="0" borderId="23" xfId="0" applyNumberFormat="1" applyFont="1" applyBorder="1" applyAlignment="1">
      <alignment vertical="center" wrapText="1"/>
    </xf>
    <xf numFmtId="10" fontId="35" fillId="0" borderId="23" xfId="0" applyNumberFormat="1" applyFont="1" applyBorder="1" applyAlignment="1">
      <alignment vertical="center" wrapText="1"/>
    </xf>
    <xf numFmtId="10" fontId="66" fillId="0" borderId="23" xfId="0" applyNumberFormat="1" applyFont="1" applyBorder="1" applyAlignment="1">
      <alignment vertical="center" wrapText="1"/>
    </xf>
    <xf numFmtId="10" fontId="66" fillId="0" borderId="64" xfId="0" applyNumberFormat="1" applyFont="1" applyBorder="1" applyAlignment="1">
      <alignment vertical="center" wrapText="1"/>
    </xf>
    <xf numFmtId="10" fontId="58" fillId="0" borderId="31" xfId="0" applyNumberFormat="1" applyFont="1" applyBorder="1" applyAlignment="1">
      <alignment vertical="center" wrapText="1"/>
    </xf>
    <xf numFmtId="0" fontId="25" fillId="0" borderId="30" xfId="0" applyFont="1" applyBorder="1" applyAlignment="1">
      <alignment horizontal="right" vertical="center"/>
    </xf>
    <xf numFmtId="0" fontId="25" fillId="0" borderId="23" xfId="0" applyFont="1" applyBorder="1" applyAlignment="1">
      <alignment horizontal="right" vertical="center"/>
    </xf>
    <xf numFmtId="3" fontId="37" fillId="0" borderId="12" xfId="0" applyNumberFormat="1" applyFont="1" applyBorder="1" applyAlignment="1">
      <alignment horizontal="right"/>
    </xf>
    <xf numFmtId="0" fontId="25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3" fillId="0" borderId="51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6" fillId="0" borderId="21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6" fillId="0" borderId="11" xfId="0" applyFont="1" applyBorder="1" applyAlignment="1">
      <alignment horizontal="left"/>
    </xf>
    <xf numFmtId="0" fontId="43" fillId="0" borderId="11" xfId="0" applyFont="1" applyBorder="1" applyAlignment="1">
      <alignment horizontal="left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vertical="center"/>
    </xf>
    <xf numFmtId="0" fontId="40" fillId="0" borderId="0" xfId="0" applyFont="1" applyAlignment="1">
      <alignment horizontal="center"/>
    </xf>
    <xf numFmtId="0" fontId="41" fillId="0" borderId="17" xfId="0" applyFont="1" applyBorder="1" applyAlignment="1">
      <alignment horizontal="center" vertical="center" wrapText="1"/>
    </xf>
    <xf numFmtId="0" fontId="41" fillId="0" borderId="19" xfId="0" applyFont="1" applyBorder="1" applyAlignment="1">
      <alignment horizontal="center" vertical="center" wrapText="1"/>
    </xf>
    <xf numFmtId="0" fontId="41" fillId="0" borderId="16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17" xfId="0" applyFont="1" applyBorder="1" applyAlignment="1">
      <alignment horizontal="left"/>
    </xf>
    <xf numFmtId="0" fontId="41" fillId="0" borderId="19" xfId="0" applyFont="1" applyBorder="1" applyAlignment="1">
      <alignment horizontal="left"/>
    </xf>
    <xf numFmtId="0" fontId="41" fillId="0" borderId="16" xfId="0" applyFont="1" applyBorder="1" applyAlignment="1">
      <alignment horizontal="left"/>
    </xf>
    <xf numFmtId="0" fontId="26" fillId="0" borderId="11" xfId="0" applyFont="1" applyBorder="1" applyAlignment="1">
      <alignment horizontal="left" wrapText="1"/>
    </xf>
    <xf numFmtId="0" fontId="26" fillId="0" borderId="17" xfId="0" applyFont="1" applyBorder="1" applyAlignment="1">
      <alignment horizontal="left" wrapText="1"/>
    </xf>
    <xf numFmtId="0" fontId="26" fillId="0" borderId="19" xfId="0" applyFont="1" applyBorder="1" applyAlignment="1">
      <alignment horizontal="left" wrapText="1"/>
    </xf>
    <xf numFmtId="0" fontId="26" fillId="0" borderId="16" xfId="0" applyFont="1" applyBorder="1" applyAlignment="1">
      <alignment horizontal="left" wrapText="1"/>
    </xf>
    <xf numFmtId="0" fontId="27" fillId="0" borderId="17" xfId="0" applyFont="1" applyBorder="1" applyAlignment="1">
      <alignment horizontal="left"/>
    </xf>
    <xf numFmtId="0" fontId="27" fillId="0" borderId="19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41" fillId="0" borderId="11" xfId="0" applyFont="1" applyBorder="1" applyAlignment="1">
      <alignment horizontal="left"/>
    </xf>
    <xf numFmtId="0" fontId="41" fillId="0" borderId="17" xfId="0" applyFont="1" applyBorder="1" applyAlignment="1">
      <alignment horizontal="left" wrapText="1"/>
    </xf>
    <xf numFmtId="0" fontId="41" fillId="0" borderId="19" xfId="0" applyFont="1" applyBorder="1" applyAlignment="1">
      <alignment horizontal="left" wrapText="1"/>
    </xf>
    <xf numFmtId="0" fontId="41" fillId="0" borderId="16" xfId="0" applyFont="1" applyBorder="1" applyAlignment="1">
      <alignment horizontal="left" wrapText="1"/>
    </xf>
    <xf numFmtId="0" fontId="41" fillId="0" borderId="11" xfId="0" applyFont="1" applyBorder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19" xfId="0" applyFont="1" applyBorder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27" fillId="0" borderId="17" xfId="0" applyFont="1" applyBorder="1" applyAlignment="1">
      <alignment horizontal="center"/>
    </xf>
    <xf numFmtId="0" fontId="27" fillId="0" borderId="19" xfId="0" applyFont="1" applyBorder="1" applyAlignment="1">
      <alignment horizontal="center"/>
    </xf>
    <xf numFmtId="0" fontId="27" fillId="0" borderId="16" xfId="0" applyFont="1" applyBorder="1" applyAlignment="1">
      <alignment horizontal="center"/>
    </xf>
    <xf numFmtId="0" fontId="41" fillId="0" borderId="39" xfId="0" applyFont="1" applyBorder="1" applyAlignment="1">
      <alignment horizontal="left" vertical="center" wrapText="1"/>
    </xf>
    <xf numFmtId="0" fontId="41" fillId="0" borderId="40" xfId="0" applyFont="1" applyBorder="1" applyAlignment="1">
      <alignment horizontal="left" vertical="center" wrapText="1"/>
    </xf>
    <xf numFmtId="0" fontId="41" fillId="0" borderId="39" xfId="0" applyFont="1" applyBorder="1" applyAlignment="1">
      <alignment horizontal="left" wrapText="1"/>
    </xf>
    <xf numFmtId="0" fontId="41" fillId="0" borderId="40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50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3" fillId="0" borderId="52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left" vertical="center" wrapText="1"/>
    </xf>
    <xf numFmtId="0" fontId="3" fillId="0" borderId="54" xfId="0" applyFont="1" applyBorder="1" applyAlignment="1">
      <alignment horizontal="left" vertical="center" wrapText="1"/>
    </xf>
    <xf numFmtId="0" fontId="28" fillId="0" borderId="0" xfId="0" applyFont="1" applyAlignment="1">
      <alignment horizontal="center"/>
    </xf>
    <xf numFmtId="0" fontId="27" fillId="0" borderId="0" xfId="0" applyFont="1"/>
    <xf numFmtId="49" fontId="26" fillId="0" borderId="55" xfId="0" applyNumberFormat="1" applyFont="1" applyBorder="1" applyAlignment="1">
      <alignment horizontal="center" vertical="center"/>
    </xf>
    <xf numFmtId="49" fontId="26" fillId="0" borderId="27" xfId="0" applyNumberFormat="1" applyFont="1" applyBorder="1" applyAlignment="1">
      <alignment horizontal="center" vertical="center"/>
    </xf>
    <xf numFmtId="0" fontId="33" fillId="0" borderId="56" xfId="0" applyFont="1" applyBorder="1" applyAlignment="1">
      <alignment horizontal="center" vertical="center"/>
    </xf>
    <xf numFmtId="0" fontId="33" fillId="0" borderId="42" xfId="0" applyFont="1" applyBorder="1" applyAlignment="1">
      <alignment horizontal="center" vertical="center"/>
    </xf>
    <xf numFmtId="0" fontId="33" fillId="0" borderId="57" xfId="0" applyFont="1" applyBorder="1" applyAlignment="1">
      <alignment horizontal="center"/>
    </xf>
    <xf numFmtId="0" fontId="33" fillId="0" borderId="40" xfId="0" applyFont="1" applyBorder="1" applyAlignment="1">
      <alignment horizontal="center"/>
    </xf>
    <xf numFmtId="0" fontId="33" fillId="0" borderId="41" xfId="0" applyFont="1" applyBorder="1" applyAlignment="1">
      <alignment horizontal="center"/>
    </xf>
    <xf numFmtId="49" fontId="38" fillId="0" borderId="13" xfId="0" applyNumberFormat="1" applyFont="1" applyBorder="1" applyAlignment="1">
      <alignment horizontal="center" vertical="center" textRotation="90"/>
    </xf>
    <xf numFmtId="0" fontId="31" fillId="0" borderId="13" xfId="0" applyFont="1" applyBorder="1" applyAlignment="1">
      <alignment horizontal="center" vertical="center" textRotation="90"/>
    </xf>
    <xf numFmtId="0" fontId="33" fillId="0" borderId="39" xfId="0" applyFont="1" applyBorder="1" applyAlignment="1">
      <alignment horizontal="center"/>
    </xf>
    <xf numFmtId="0" fontId="34" fillId="0" borderId="63" xfId="0" applyFont="1" applyBorder="1" applyAlignment="1">
      <alignment horizontal="center" vertical="center"/>
    </xf>
    <xf numFmtId="0" fontId="34" fillId="0" borderId="42" xfId="0" applyFont="1" applyBorder="1" applyAlignment="1">
      <alignment horizontal="center" vertical="center"/>
    </xf>
    <xf numFmtId="0" fontId="34" fillId="0" borderId="14" xfId="0" applyFont="1" applyBorder="1" applyAlignment="1">
      <alignment horizontal="center" vertical="center"/>
    </xf>
    <xf numFmtId="0" fontId="64" fillId="0" borderId="17" xfId="0" applyFont="1" applyBorder="1" applyAlignment="1">
      <alignment horizontal="left" vertical="center"/>
    </xf>
    <xf numFmtId="0" fontId="64" fillId="0" borderId="19" xfId="0" applyFont="1" applyBorder="1" applyAlignment="1">
      <alignment horizontal="left" vertical="center"/>
    </xf>
    <xf numFmtId="0" fontId="64" fillId="0" borderId="18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30" fillId="0" borderId="17" xfId="0" applyFont="1" applyBorder="1" applyAlignment="1">
      <alignment horizontal="right" vertical="center"/>
    </xf>
    <xf numFmtId="0" fontId="30" fillId="0" borderId="16" xfId="0" applyFont="1" applyBorder="1" applyAlignment="1">
      <alignment horizontal="right" vertical="center"/>
    </xf>
    <xf numFmtId="0" fontId="30" fillId="0" borderId="17" xfId="0" applyFont="1" applyBorder="1" applyAlignment="1">
      <alignment horizontal="left" vertical="center"/>
    </xf>
    <xf numFmtId="0" fontId="30" fillId="0" borderId="19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20" xfId="0" applyFont="1" applyBorder="1" applyAlignment="1">
      <alignment horizontal="left" vertical="center"/>
    </xf>
    <xf numFmtId="0" fontId="30" fillId="0" borderId="67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4" fillId="0" borderId="2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0" fontId="66" fillId="0" borderId="21" xfId="0" applyFont="1" applyBorder="1" applyAlignment="1">
      <alignment horizontal="left" vertical="center"/>
    </xf>
    <xf numFmtId="0" fontId="3" fillId="0" borderId="66" xfId="0" applyFont="1" applyBorder="1" applyAlignment="1">
      <alignment horizontal="left" vertical="center"/>
    </xf>
    <xf numFmtId="0" fontId="30" fillId="0" borderId="50" xfId="0" applyFont="1" applyBorder="1" applyAlignment="1">
      <alignment horizontal="right" vertical="center"/>
    </xf>
    <xf numFmtId="0" fontId="30" fillId="0" borderId="20" xfId="0" applyFont="1" applyBorder="1" applyAlignment="1">
      <alignment horizontal="right" vertical="center"/>
    </xf>
  </cellXfs>
  <cellStyles count="38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Ezres 2" xfId="26" xr:uid="{00000000-0005-0000-0000-000019000000}"/>
    <cellStyle name="Figyelmeztetés" xfId="27" builtinId="11" customBuiltin="1"/>
    <cellStyle name="Hivatkozott cella" xfId="28" builtinId="24" customBuiltin="1"/>
    <cellStyle name="Jegyzet" xfId="29" builtinId="10" customBuiltin="1"/>
    <cellStyle name="Jó" xfId="30" builtinId="26" customBuiltin="1"/>
    <cellStyle name="Kimenet" xfId="31" builtinId="21" customBuiltin="1"/>
    <cellStyle name="Magyarázó szöveg" xfId="32" builtinId="53" customBuiltin="1"/>
    <cellStyle name="Normál" xfId="0" builtinId="0"/>
    <cellStyle name="Normál 2" xfId="33" xr:uid="{00000000-0005-0000-0000-000021000000}"/>
    <cellStyle name="Összesen" xfId="34" builtinId="25" customBuiltin="1"/>
    <cellStyle name="Rossz" xfId="35" builtinId="27" customBuiltin="1"/>
    <cellStyle name="Semleges" xfId="36" builtinId="28" customBuiltin="1"/>
    <cellStyle name="Számítás" xfId="37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E32"/>
  <sheetViews>
    <sheetView tabSelected="1" zoomScaleNormal="100" workbookViewId="0">
      <selection activeCell="T30" sqref="T30"/>
    </sheetView>
  </sheetViews>
  <sheetFormatPr defaultColWidth="8.85546875" defaultRowHeight="12.75" x14ac:dyDescent="0.2"/>
  <cols>
    <col min="1" max="1" width="38.5703125" style="44" customWidth="1"/>
    <col min="2" max="4" width="15.140625" style="37" bestFit="1" customWidth="1"/>
    <col min="5" max="5" width="10.28515625" style="37" bestFit="1" customWidth="1"/>
    <col min="6" max="16384" width="8.85546875" style="37"/>
  </cols>
  <sheetData>
    <row r="1" spans="1:5" ht="15" x14ac:dyDescent="0.2">
      <c r="A1" s="35"/>
      <c r="B1" s="9"/>
      <c r="C1" s="9"/>
      <c r="D1" s="9"/>
      <c r="E1" s="36" t="s">
        <v>53</v>
      </c>
    </row>
    <row r="2" spans="1:5" ht="15" x14ac:dyDescent="0.2">
      <c r="A2" s="35"/>
      <c r="B2" s="9"/>
      <c r="C2" s="9"/>
      <c r="D2" s="9"/>
      <c r="E2" s="9"/>
    </row>
    <row r="3" spans="1:5" ht="14.25" x14ac:dyDescent="0.2">
      <c r="A3" s="290" t="s">
        <v>0</v>
      </c>
      <c r="B3" s="290"/>
      <c r="C3" s="290"/>
      <c r="D3" s="290"/>
      <c r="E3" s="290"/>
    </row>
    <row r="4" spans="1:5" ht="14.25" x14ac:dyDescent="0.2">
      <c r="A4" s="290" t="s">
        <v>446</v>
      </c>
      <c r="B4" s="290"/>
      <c r="C4" s="290"/>
      <c r="D4" s="290"/>
      <c r="E4" s="290"/>
    </row>
    <row r="5" spans="1:5" ht="15" x14ac:dyDescent="0.2">
      <c r="A5" s="35"/>
      <c r="B5" s="9"/>
      <c r="C5" s="9"/>
      <c r="D5" s="9"/>
      <c r="E5" s="9"/>
    </row>
    <row r="6" spans="1:5" ht="14.25" x14ac:dyDescent="0.2">
      <c r="A6" s="290" t="s">
        <v>11</v>
      </c>
      <c r="B6" s="290"/>
      <c r="C6" s="290"/>
      <c r="D6" s="290"/>
      <c r="E6" s="290"/>
    </row>
    <row r="7" spans="1:5" ht="11.25" customHeight="1" x14ac:dyDescent="0.2">
      <c r="A7" s="35"/>
      <c r="B7" s="9"/>
      <c r="C7" s="9"/>
      <c r="D7" s="293" t="s">
        <v>335</v>
      </c>
      <c r="E7" s="293"/>
    </row>
    <row r="8" spans="1:5" s="38" customFormat="1" ht="16.5" customHeight="1" x14ac:dyDescent="0.2">
      <c r="A8" s="294" t="s">
        <v>1</v>
      </c>
      <c r="B8" s="2" t="s">
        <v>2</v>
      </c>
      <c r="C8" s="2" t="s">
        <v>3</v>
      </c>
      <c r="D8" s="296" t="s">
        <v>4</v>
      </c>
      <c r="E8" s="1" t="s">
        <v>4</v>
      </c>
    </row>
    <row r="9" spans="1:5" s="38" customFormat="1" ht="23.25" customHeight="1" x14ac:dyDescent="0.2">
      <c r="A9" s="295"/>
      <c r="B9" s="291" t="s">
        <v>8</v>
      </c>
      <c r="C9" s="292"/>
      <c r="D9" s="297"/>
      <c r="E9" s="3" t="s">
        <v>9</v>
      </c>
    </row>
    <row r="10" spans="1:5" ht="15" x14ac:dyDescent="0.2">
      <c r="A10" s="4" t="s">
        <v>59</v>
      </c>
      <c r="B10" s="5">
        <v>2472051922</v>
      </c>
      <c r="C10" s="5">
        <v>2729891576</v>
      </c>
      <c r="D10" s="5">
        <v>1188114946</v>
      </c>
      <c r="E10" s="6">
        <f t="shared" ref="E10:E15" si="0">D10/C10*100</f>
        <v>43.522422518365985</v>
      </c>
    </row>
    <row r="11" spans="1:5" ht="15" x14ac:dyDescent="0.2">
      <c r="A11" s="4" t="s">
        <v>7</v>
      </c>
      <c r="B11" s="5">
        <v>15550000</v>
      </c>
      <c r="C11" s="5">
        <v>19889139</v>
      </c>
      <c r="D11" s="5">
        <v>20570586</v>
      </c>
      <c r="E11" s="6">
        <f t="shared" si="0"/>
        <v>103.42622674616533</v>
      </c>
    </row>
    <row r="12" spans="1:5" ht="31.5" customHeight="1" x14ac:dyDescent="0.2">
      <c r="A12" s="4" t="s">
        <v>368</v>
      </c>
      <c r="B12" s="5">
        <v>19612894</v>
      </c>
      <c r="C12" s="5">
        <v>24445326</v>
      </c>
      <c r="D12" s="5">
        <v>27694236</v>
      </c>
      <c r="E12" s="6">
        <f t="shared" si="0"/>
        <v>113.29051615020393</v>
      </c>
    </row>
    <row r="13" spans="1:5" ht="31.5" customHeight="1" x14ac:dyDescent="0.2">
      <c r="A13" s="4" t="s">
        <v>367</v>
      </c>
      <c r="B13" s="5">
        <v>5643150</v>
      </c>
      <c r="C13" s="5">
        <v>6645738</v>
      </c>
      <c r="D13" s="5">
        <v>4912946</v>
      </c>
      <c r="E13" s="6">
        <f t="shared" si="0"/>
        <v>73.926266729142796</v>
      </c>
    </row>
    <row r="14" spans="1:5" ht="18" customHeight="1" x14ac:dyDescent="0.2">
      <c r="A14" s="4" t="s">
        <v>429</v>
      </c>
      <c r="B14" s="5">
        <v>257664527</v>
      </c>
      <c r="C14" s="5">
        <v>260372291</v>
      </c>
      <c r="D14" s="5">
        <v>121266374</v>
      </c>
      <c r="E14" s="6">
        <f t="shared" si="0"/>
        <v>46.574223982996713</v>
      </c>
    </row>
    <row r="15" spans="1:5" s="40" customFormat="1" ht="14.25" x14ac:dyDescent="0.2">
      <c r="A15" s="7" t="s">
        <v>5</v>
      </c>
      <c r="B15" s="39">
        <f>SUM(B10:B14)</f>
        <v>2770522493</v>
      </c>
      <c r="C15" s="39">
        <f t="shared" ref="C15:D15" si="1">SUM(C10:C14)</f>
        <v>3041244070</v>
      </c>
      <c r="D15" s="39">
        <f t="shared" si="1"/>
        <v>1362559088</v>
      </c>
      <c r="E15" s="8">
        <f t="shared" si="0"/>
        <v>44.802687868455095</v>
      </c>
    </row>
    <row r="16" spans="1:5" s="40" customFormat="1" ht="14.25" x14ac:dyDescent="0.2">
      <c r="A16" s="41"/>
      <c r="B16" s="42"/>
      <c r="C16" s="42"/>
      <c r="D16" s="42"/>
      <c r="E16" s="43"/>
    </row>
    <row r="17" spans="1:5" s="40" customFormat="1" ht="14.25" x14ac:dyDescent="0.2">
      <c r="A17" s="41"/>
      <c r="B17" s="42"/>
      <c r="C17" s="42"/>
      <c r="D17" s="42"/>
      <c r="E17" s="43"/>
    </row>
    <row r="18" spans="1:5" s="40" customFormat="1" ht="14.25" x14ac:dyDescent="0.2">
      <c r="A18" s="41"/>
      <c r="B18" s="10"/>
      <c r="C18" s="10"/>
      <c r="D18" s="10"/>
      <c r="E18" s="43"/>
    </row>
    <row r="19" spans="1:5" ht="14.25" x14ac:dyDescent="0.2">
      <c r="A19" s="290" t="s">
        <v>10</v>
      </c>
      <c r="B19" s="290"/>
      <c r="C19" s="290"/>
      <c r="D19" s="290"/>
      <c r="E19" s="290"/>
    </row>
    <row r="20" spans="1:5" ht="15" x14ac:dyDescent="0.2">
      <c r="A20" s="35"/>
      <c r="B20" s="9"/>
      <c r="C20" s="9"/>
      <c r="D20" s="9"/>
      <c r="E20" s="9"/>
    </row>
    <row r="21" spans="1:5" s="40" customFormat="1" ht="16.5" customHeight="1" x14ac:dyDescent="0.2">
      <c r="A21" s="294" t="s">
        <v>1</v>
      </c>
      <c r="B21" s="2" t="s">
        <v>6</v>
      </c>
      <c r="C21" s="2" t="s">
        <v>3</v>
      </c>
      <c r="D21" s="296" t="s">
        <v>4</v>
      </c>
      <c r="E21" s="1" t="s">
        <v>4</v>
      </c>
    </row>
    <row r="22" spans="1:5" s="40" customFormat="1" ht="16.5" customHeight="1" x14ac:dyDescent="0.2">
      <c r="A22" s="295"/>
      <c r="B22" s="291" t="s">
        <v>8</v>
      </c>
      <c r="C22" s="292"/>
      <c r="D22" s="297"/>
      <c r="E22" s="3" t="s">
        <v>9</v>
      </c>
    </row>
    <row r="23" spans="1:5" ht="15" x14ac:dyDescent="0.2">
      <c r="A23" s="4" t="s">
        <v>56</v>
      </c>
      <c r="B23" s="5">
        <v>1672703356</v>
      </c>
      <c r="C23" s="5">
        <f>2729891576-806601172</f>
        <v>1923290404</v>
      </c>
      <c r="D23" s="5">
        <v>531823436</v>
      </c>
      <c r="E23" s="6">
        <f t="shared" ref="E23:E28" si="2">D23/C23*100</f>
        <v>27.651749049125918</v>
      </c>
    </row>
    <row r="24" spans="1:5" ht="15" x14ac:dyDescent="0.2">
      <c r="A24" s="4" t="s">
        <v>7</v>
      </c>
      <c r="B24" s="5">
        <v>218623192</v>
      </c>
      <c r="C24" s="5">
        <v>219761421</v>
      </c>
      <c r="D24" s="5">
        <v>101298461</v>
      </c>
      <c r="E24" s="6">
        <f t="shared" si="2"/>
        <v>46.09474244344279</v>
      </c>
    </row>
    <row r="25" spans="1:5" ht="31.5" customHeight="1" x14ac:dyDescent="0.2">
      <c r="A25" s="4" t="s">
        <v>368</v>
      </c>
      <c r="B25" s="5">
        <v>557060947</v>
      </c>
      <c r="C25" s="5">
        <v>572846895</v>
      </c>
      <c r="D25" s="5">
        <v>293606683</v>
      </c>
      <c r="E25" s="6">
        <f t="shared" si="2"/>
        <v>51.253953816054107</v>
      </c>
    </row>
    <row r="26" spans="1:5" ht="31.5" customHeight="1" x14ac:dyDescent="0.2">
      <c r="A26" s="4" t="s">
        <v>367</v>
      </c>
      <c r="B26" s="5">
        <v>64470471</v>
      </c>
      <c r="C26" s="5">
        <v>64973059</v>
      </c>
      <c r="D26" s="5">
        <v>25323733</v>
      </c>
      <c r="E26" s="6">
        <f t="shared" si="2"/>
        <v>38.975743777124606</v>
      </c>
    </row>
    <row r="27" spans="1:5" ht="18" customHeight="1" x14ac:dyDescent="0.2">
      <c r="A27" s="4" t="s">
        <v>429</v>
      </c>
      <c r="B27" s="5">
        <v>257664527</v>
      </c>
      <c r="C27" s="5">
        <v>260372291</v>
      </c>
      <c r="D27" s="5">
        <v>126005918</v>
      </c>
      <c r="E27" s="6">
        <f t="shared" si="2"/>
        <v>48.394519061938126</v>
      </c>
    </row>
    <row r="28" spans="1:5" s="40" customFormat="1" ht="14.25" x14ac:dyDescent="0.2">
      <c r="A28" s="7" t="s">
        <v>5</v>
      </c>
      <c r="B28" s="39">
        <f>SUM(B23:B27)</f>
        <v>2770522493</v>
      </c>
      <c r="C28" s="39">
        <f t="shared" ref="C28:D28" si="3">SUM(C23:C27)</f>
        <v>3041244070</v>
      </c>
      <c r="D28" s="39">
        <f t="shared" si="3"/>
        <v>1078058231</v>
      </c>
      <c r="E28" s="8">
        <f t="shared" si="2"/>
        <v>35.447935324704147</v>
      </c>
    </row>
    <row r="29" spans="1:5" ht="15" x14ac:dyDescent="0.2">
      <c r="A29" s="35"/>
      <c r="B29" s="9"/>
      <c r="C29" s="9"/>
      <c r="D29" s="9"/>
      <c r="E29" s="9"/>
    </row>
    <row r="30" spans="1:5" ht="90.75" customHeight="1" x14ac:dyDescent="0.2">
      <c r="A30" s="289" t="s">
        <v>450</v>
      </c>
      <c r="B30" s="289"/>
      <c r="C30" s="289"/>
      <c r="D30" s="289"/>
      <c r="E30" s="289"/>
    </row>
    <row r="31" spans="1:5" ht="22.5" customHeight="1" x14ac:dyDescent="0.2">
      <c r="A31" s="288" t="s">
        <v>451</v>
      </c>
      <c r="B31" s="288"/>
      <c r="C31" s="288"/>
      <c r="D31" s="288"/>
      <c r="E31" s="288"/>
    </row>
    <row r="32" spans="1:5" ht="15" x14ac:dyDescent="0.2">
      <c r="A32" s="35"/>
      <c r="B32" s="9"/>
      <c r="C32" s="9"/>
      <c r="D32" s="9"/>
      <c r="E32" s="9"/>
    </row>
  </sheetData>
  <mergeCells count="13">
    <mergeCell ref="A31:E31"/>
    <mergeCell ref="A30:E30"/>
    <mergeCell ref="A3:E3"/>
    <mergeCell ref="A4:E4"/>
    <mergeCell ref="B9:C9"/>
    <mergeCell ref="B22:C22"/>
    <mergeCell ref="A19:E19"/>
    <mergeCell ref="A6:E6"/>
    <mergeCell ref="D7:E7"/>
    <mergeCell ref="A8:A9"/>
    <mergeCell ref="A21:A22"/>
    <mergeCell ref="D8:D9"/>
    <mergeCell ref="D21:D22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L295"/>
  <sheetViews>
    <sheetView topLeftCell="C203" zoomScaleNormal="100" workbookViewId="0">
      <selection activeCell="H287" sqref="H287"/>
    </sheetView>
  </sheetViews>
  <sheetFormatPr defaultColWidth="9.140625" defaultRowHeight="12.75" x14ac:dyDescent="0.2"/>
  <cols>
    <col min="1" max="1" width="5.140625" style="48" customWidth="1"/>
    <col min="2" max="2" width="4.5703125" style="48" customWidth="1"/>
    <col min="3" max="3" width="5" style="48" customWidth="1"/>
    <col min="4" max="4" width="5.85546875" style="48" customWidth="1"/>
    <col min="5" max="5" width="37" style="48" customWidth="1"/>
    <col min="6" max="8" width="15.85546875" style="48" bestFit="1" customWidth="1"/>
    <col min="9" max="9" width="12.85546875" style="48" customWidth="1"/>
    <col min="10" max="10" width="9.140625" style="48"/>
    <col min="11" max="11" width="12.28515625" style="48" bestFit="1" customWidth="1"/>
    <col min="12" max="16384" width="9.140625" style="48"/>
  </cols>
  <sheetData>
    <row r="1" spans="1:9" x14ac:dyDescent="0.2">
      <c r="A1" s="45"/>
      <c r="B1" s="46"/>
      <c r="C1" s="46"/>
      <c r="D1" s="46"/>
      <c r="E1" s="47"/>
      <c r="F1" s="300" t="s">
        <v>273</v>
      </c>
      <c r="G1" s="301"/>
      <c r="H1" s="301"/>
      <c r="I1" s="301"/>
    </row>
    <row r="2" spans="1:9" ht="14.25" x14ac:dyDescent="0.2">
      <c r="A2" s="302" t="s">
        <v>0</v>
      </c>
      <c r="B2" s="302"/>
      <c r="C2" s="302"/>
      <c r="D2" s="302"/>
      <c r="E2" s="302"/>
      <c r="F2" s="302"/>
      <c r="G2" s="302"/>
      <c r="H2" s="302"/>
      <c r="I2" s="302"/>
    </row>
    <row r="3" spans="1:9" ht="14.25" x14ac:dyDescent="0.2">
      <c r="A3" s="302" t="s">
        <v>446</v>
      </c>
      <c r="B3" s="302"/>
      <c r="C3" s="302"/>
      <c r="D3" s="302"/>
      <c r="E3" s="302"/>
      <c r="F3" s="302"/>
      <c r="G3" s="302"/>
      <c r="H3" s="302"/>
      <c r="I3" s="302"/>
    </row>
    <row r="4" spans="1:9" ht="14.25" x14ac:dyDescent="0.2">
      <c r="A4" s="302" t="s">
        <v>11</v>
      </c>
      <c r="B4" s="302"/>
      <c r="C4" s="302"/>
      <c r="D4" s="302"/>
      <c r="E4" s="302"/>
      <c r="F4" s="302"/>
      <c r="G4" s="302"/>
      <c r="H4" s="302"/>
      <c r="I4" s="302"/>
    </row>
    <row r="5" spans="1:9" ht="14.25" x14ac:dyDescent="0.2">
      <c r="A5" s="49"/>
      <c r="B5" s="49"/>
      <c r="C5" s="49"/>
      <c r="D5" s="49"/>
      <c r="E5" s="49"/>
      <c r="F5" s="49"/>
      <c r="G5" s="49"/>
      <c r="H5" s="49"/>
      <c r="I5" s="47" t="s">
        <v>336</v>
      </c>
    </row>
    <row r="6" spans="1:9" x14ac:dyDescent="0.2">
      <c r="A6" s="45"/>
      <c r="B6" s="46"/>
      <c r="C6" s="46"/>
      <c r="D6" s="46"/>
      <c r="E6" s="46"/>
      <c r="F6" s="46"/>
      <c r="G6" s="46"/>
      <c r="H6" s="46"/>
      <c r="I6" s="47"/>
    </row>
    <row r="7" spans="1:9" s="50" customFormat="1" ht="22.5" customHeight="1" x14ac:dyDescent="0.25">
      <c r="A7" s="303" t="s">
        <v>82</v>
      </c>
      <c r="B7" s="304"/>
      <c r="C7" s="304"/>
      <c r="D7" s="304"/>
      <c r="E7" s="305"/>
      <c r="F7" s="303" t="s">
        <v>21</v>
      </c>
      <c r="G7" s="305"/>
      <c r="H7" s="306" t="s">
        <v>4</v>
      </c>
      <c r="I7" s="306" t="s">
        <v>81</v>
      </c>
    </row>
    <row r="8" spans="1:9" ht="15.75" x14ac:dyDescent="0.25">
      <c r="A8" s="308" t="s">
        <v>51</v>
      </c>
      <c r="B8" s="309"/>
      <c r="C8" s="309"/>
      <c r="D8" s="309"/>
      <c r="E8" s="310"/>
      <c r="F8" s="22" t="s">
        <v>22</v>
      </c>
      <c r="G8" s="22" t="s">
        <v>23</v>
      </c>
      <c r="H8" s="307"/>
      <c r="I8" s="307"/>
    </row>
    <row r="9" spans="1:9" s="54" customFormat="1" x14ac:dyDescent="0.2">
      <c r="A9" s="51" t="s">
        <v>83</v>
      </c>
      <c r="B9" s="299" t="s">
        <v>84</v>
      </c>
      <c r="C9" s="299"/>
      <c r="D9" s="299"/>
      <c r="E9" s="299"/>
      <c r="F9" s="52">
        <f>SUM(F10:F31)</f>
        <v>1090199863</v>
      </c>
      <c r="G9" s="52">
        <f>SUM(G10:G31)</f>
        <v>1307301128</v>
      </c>
      <c r="H9" s="52">
        <f>SUM(H10:H31)</f>
        <v>639026967</v>
      </c>
      <c r="I9" s="53">
        <f>H9/G9*100</f>
        <v>48.881390317288862</v>
      </c>
    </row>
    <row r="10" spans="1:9" x14ac:dyDescent="0.2">
      <c r="A10" s="55"/>
      <c r="B10" s="55" t="s">
        <v>85</v>
      </c>
      <c r="C10" s="298" t="s">
        <v>86</v>
      </c>
      <c r="D10" s="298"/>
      <c r="E10" s="298"/>
      <c r="F10" s="56">
        <f>319108569+274087174+195938097+165452245+23304574</f>
        <v>977890659</v>
      </c>
      <c r="G10" s="56">
        <f>319108569+316438140+213471317+165452245+23304574</f>
        <v>1037774845</v>
      </c>
      <c r="H10" s="56">
        <f>166523800+163497054+110325779+86035170+12118379</f>
        <v>538500182</v>
      </c>
      <c r="I10" s="57">
        <f t="shared" ref="I10:I31" si="0">H10/G10*100</f>
        <v>51.889885806588424</v>
      </c>
    </row>
    <row r="11" spans="1:9" hidden="1" x14ac:dyDescent="0.2">
      <c r="A11" s="58"/>
      <c r="B11" s="58"/>
      <c r="C11" s="58" t="s">
        <v>87</v>
      </c>
      <c r="D11" s="58"/>
      <c r="E11" s="58" t="s">
        <v>88</v>
      </c>
      <c r="F11" s="197"/>
      <c r="G11" s="197"/>
      <c r="H11" s="197"/>
      <c r="I11" s="57" t="e">
        <f t="shared" si="0"/>
        <v>#DIV/0!</v>
      </c>
    </row>
    <row r="12" spans="1:9" hidden="1" x14ac:dyDescent="0.2">
      <c r="A12" s="58"/>
      <c r="B12" s="60"/>
      <c r="C12" s="58" t="s">
        <v>89</v>
      </c>
      <c r="D12" s="58"/>
      <c r="E12" s="58" t="s">
        <v>90</v>
      </c>
      <c r="F12" s="197"/>
      <c r="G12" s="197"/>
      <c r="H12" s="197"/>
      <c r="I12" s="57" t="e">
        <f t="shared" si="0"/>
        <v>#DIV/0!</v>
      </c>
    </row>
    <row r="13" spans="1:9" hidden="1" x14ac:dyDescent="0.2">
      <c r="A13" s="58"/>
      <c r="B13" s="58"/>
      <c r="C13" s="58" t="s">
        <v>91</v>
      </c>
      <c r="D13" s="58"/>
      <c r="E13" s="58" t="s">
        <v>92</v>
      </c>
      <c r="F13" s="197"/>
      <c r="G13" s="197"/>
      <c r="H13" s="197"/>
      <c r="I13" s="57" t="e">
        <f t="shared" si="0"/>
        <v>#DIV/0!</v>
      </c>
    </row>
    <row r="14" spans="1:9" hidden="1" x14ac:dyDescent="0.2">
      <c r="A14" s="58"/>
      <c r="B14" s="58"/>
      <c r="C14" s="58" t="s">
        <v>93</v>
      </c>
      <c r="D14" s="58"/>
      <c r="E14" s="58" t="s">
        <v>94</v>
      </c>
      <c r="F14" s="197"/>
      <c r="G14" s="197"/>
      <c r="H14" s="197"/>
      <c r="I14" s="57" t="e">
        <f t="shared" si="0"/>
        <v>#DIV/0!</v>
      </c>
    </row>
    <row r="15" spans="1:9" hidden="1" x14ac:dyDescent="0.2">
      <c r="A15" s="58"/>
      <c r="B15" s="58"/>
      <c r="C15" s="58" t="s">
        <v>95</v>
      </c>
      <c r="D15" s="58"/>
      <c r="E15" s="58" t="s">
        <v>96</v>
      </c>
      <c r="F15" s="197"/>
      <c r="G15" s="197"/>
      <c r="H15" s="197"/>
      <c r="I15" s="57" t="e">
        <f t="shared" si="0"/>
        <v>#DIV/0!</v>
      </c>
    </row>
    <row r="16" spans="1:9" hidden="1" x14ac:dyDescent="0.2">
      <c r="A16" s="61"/>
      <c r="B16" s="61"/>
      <c r="C16" s="58" t="s">
        <v>97</v>
      </c>
      <c r="D16" s="61"/>
      <c r="E16" s="58" t="s">
        <v>98</v>
      </c>
      <c r="F16" s="197"/>
      <c r="G16" s="197"/>
      <c r="H16" s="197"/>
      <c r="I16" s="57" t="e">
        <f t="shared" si="0"/>
        <v>#DIV/0!</v>
      </c>
    </row>
    <row r="17" spans="1:9" x14ac:dyDescent="0.2">
      <c r="A17" s="55"/>
      <c r="B17" s="55" t="s">
        <v>99</v>
      </c>
      <c r="C17" s="298" t="s">
        <v>100</v>
      </c>
      <c r="D17" s="298"/>
      <c r="E17" s="298"/>
      <c r="F17" s="56">
        <v>0</v>
      </c>
      <c r="G17" s="56">
        <v>0</v>
      </c>
      <c r="H17" s="56">
        <v>0</v>
      </c>
      <c r="I17" s="62" t="s">
        <v>353</v>
      </c>
    </row>
    <row r="18" spans="1:9" x14ac:dyDescent="0.2">
      <c r="A18" s="55"/>
      <c r="B18" s="55" t="s">
        <v>101</v>
      </c>
      <c r="C18" s="298" t="s">
        <v>328</v>
      </c>
      <c r="D18" s="298"/>
      <c r="E18" s="298"/>
      <c r="F18" s="56">
        <v>0</v>
      </c>
      <c r="G18" s="56">
        <v>0</v>
      </c>
      <c r="H18" s="56">
        <v>0</v>
      </c>
      <c r="I18" s="62" t="s">
        <v>353</v>
      </c>
    </row>
    <row r="19" spans="1:9" x14ac:dyDescent="0.2">
      <c r="A19" s="55"/>
      <c r="B19" s="55" t="s">
        <v>103</v>
      </c>
      <c r="C19" s="298" t="s">
        <v>329</v>
      </c>
      <c r="D19" s="298"/>
      <c r="E19" s="298"/>
      <c r="F19" s="56">
        <v>0</v>
      </c>
      <c r="G19" s="56">
        <v>0</v>
      </c>
      <c r="H19" s="56">
        <v>0</v>
      </c>
      <c r="I19" s="62" t="s">
        <v>353</v>
      </c>
    </row>
    <row r="20" spans="1:9" hidden="1" x14ac:dyDescent="0.2">
      <c r="A20" s="23"/>
      <c r="B20" s="23"/>
      <c r="C20" s="24" t="s">
        <v>105</v>
      </c>
      <c r="D20" s="24" t="s">
        <v>106</v>
      </c>
      <c r="E20" s="24" t="s">
        <v>107</v>
      </c>
      <c r="F20" s="63"/>
      <c r="G20" s="63"/>
      <c r="H20" s="63"/>
      <c r="I20" s="57" t="e">
        <f t="shared" si="0"/>
        <v>#DIV/0!</v>
      </c>
    </row>
    <row r="21" spans="1:9" hidden="1" x14ac:dyDescent="0.2">
      <c r="A21" s="23"/>
      <c r="B21" s="23"/>
      <c r="C21" s="24"/>
      <c r="D21" s="24" t="s">
        <v>108</v>
      </c>
      <c r="E21" s="24" t="s">
        <v>109</v>
      </c>
      <c r="F21" s="63"/>
      <c r="G21" s="63"/>
      <c r="H21" s="63"/>
      <c r="I21" s="57" t="e">
        <f t="shared" si="0"/>
        <v>#DIV/0!</v>
      </c>
    </row>
    <row r="22" spans="1:9" hidden="1" x14ac:dyDescent="0.2">
      <c r="A22" s="23"/>
      <c r="B22" s="23"/>
      <c r="C22" s="24"/>
      <c r="D22" s="24" t="s">
        <v>110</v>
      </c>
      <c r="E22" s="24" t="s">
        <v>111</v>
      </c>
      <c r="F22" s="63"/>
      <c r="G22" s="63"/>
      <c r="H22" s="63"/>
      <c r="I22" s="57" t="e">
        <f t="shared" si="0"/>
        <v>#DIV/0!</v>
      </c>
    </row>
    <row r="23" spans="1:9" hidden="1" x14ac:dyDescent="0.2">
      <c r="A23" s="23"/>
      <c r="B23" s="23"/>
      <c r="C23" s="24"/>
      <c r="D23" s="24" t="s">
        <v>112</v>
      </c>
      <c r="E23" s="24" t="s">
        <v>113</v>
      </c>
      <c r="F23" s="63"/>
      <c r="G23" s="63"/>
      <c r="H23" s="63"/>
      <c r="I23" s="57" t="e">
        <f t="shared" si="0"/>
        <v>#DIV/0!</v>
      </c>
    </row>
    <row r="24" spans="1:9" hidden="1" x14ac:dyDescent="0.2">
      <c r="A24" s="23"/>
      <c r="B24" s="23"/>
      <c r="C24" s="24"/>
      <c r="D24" s="24" t="s">
        <v>114</v>
      </c>
      <c r="E24" s="24" t="s">
        <v>115</v>
      </c>
      <c r="F24" s="63"/>
      <c r="G24" s="63"/>
      <c r="H24" s="63"/>
      <c r="I24" s="57" t="e">
        <f t="shared" si="0"/>
        <v>#DIV/0!</v>
      </c>
    </row>
    <row r="25" spans="1:9" hidden="1" x14ac:dyDescent="0.2">
      <c r="A25" s="23"/>
      <c r="B25" s="23"/>
      <c r="C25" s="24"/>
      <c r="D25" s="24" t="s">
        <v>116</v>
      </c>
      <c r="E25" s="24" t="s">
        <v>117</v>
      </c>
      <c r="F25" s="63"/>
      <c r="G25" s="63"/>
      <c r="H25" s="63"/>
      <c r="I25" s="57" t="e">
        <f t="shared" si="0"/>
        <v>#DIV/0!</v>
      </c>
    </row>
    <row r="26" spans="1:9" hidden="1" x14ac:dyDescent="0.2">
      <c r="A26" s="23"/>
      <c r="B26" s="23"/>
      <c r="C26" s="24"/>
      <c r="D26" s="24" t="s">
        <v>118</v>
      </c>
      <c r="E26" s="24" t="s">
        <v>119</v>
      </c>
      <c r="F26" s="63"/>
      <c r="G26" s="63"/>
      <c r="H26" s="63"/>
      <c r="I26" s="57" t="e">
        <f t="shared" si="0"/>
        <v>#DIV/0!</v>
      </c>
    </row>
    <row r="27" spans="1:9" hidden="1" x14ac:dyDescent="0.2">
      <c r="A27" s="23"/>
      <c r="B27" s="23"/>
      <c r="C27" s="24"/>
      <c r="D27" s="24" t="s">
        <v>120</v>
      </c>
      <c r="E27" s="24" t="s">
        <v>121</v>
      </c>
      <c r="F27" s="63"/>
      <c r="G27" s="63"/>
      <c r="H27" s="63"/>
      <c r="I27" s="57" t="e">
        <f t="shared" si="0"/>
        <v>#DIV/0!</v>
      </c>
    </row>
    <row r="28" spans="1:9" hidden="1" x14ac:dyDescent="0.2">
      <c r="A28" s="23"/>
      <c r="B28" s="23"/>
      <c r="C28" s="24"/>
      <c r="D28" s="24" t="s">
        <v>122</v>
      </c>
      <c r="E28" s="24" t="s">
        <v>123</v>
      </c>
      <c r="F28" s="63"/>
      <c r="G28" s="63"/>
      <c r="H28" s="63"/>
      <c r="I28" s="57" t="e">
        <f t="shared" si="0"/>
        <v>#DIV/0!</v>
      </c>
    </row>
    <row r="29" spans="1:9" hidden="1" x14ac:dyDescent="0.2">
      <c r="A29" s="23"/>
      <c r="B29" s="23"/>
      <c r="C29" s="24"/>
      <c r="D29" s="24" t="s">
        <v>124</v>
      </c>
      <c r="E29" s="24" t="s">
        <v>125</v>
      </c>
      <c r="F29" s="63"/>
      <c r="G29" s="63"/>
      <c r="H29" s="63"/>
      <c r="I29" s="57" t="e">
        <f t="shared" si="0"/>
        <v>#DIV/0!</v>
      </c>
    </row>
    <row r="30" spans="1:9" x14ac:dyDescent="0.2">
      <c r="A30" s="55"/>
      <c r="B30" s="55" t="s">
        <v>126</v>
      </c>
      <c r="C30" s="298" t="s">
        <v>330</v>
      </c>
      <c r="D30" s="298"/>
      <c r="E30" s="298"/>
      <c r="F30" s="56">
        <v>0</v>
      </c>
      <c r="G30" s="56">
        <v>0</v>
      </c>
      <c r="H30" s="56">
        <v>0</v>
      </c>
      <c r="I30" s="62" t="s">
        <v>353</v>
      </c>
    </row>
    <row r="31" spans="1:9" x14ac:dyDescent="0.2">
      <c r="A31" s="55"/>
      <c r="B31" s="55" t="s">
        <v>128</v>
      </c>
      <c r="C31" s="298" t="s">
        <v>129</v>
      </c>
      <c r="D31" s="298"/>
      <c r="E31" s="298"/>
      <c r="F31" s="56">
        <v>112309204</v>
      </c>
      <c r="G31" s="56">
        <v>269526283</v>
      </c>
      <c r="H31" s="56">
        <f>9581699+2906869+18438681+1398262+47081381+34493+9548000+2669400+2841000+6027000</f>
        <v>100526785</v>
      </c>
      <c r="I31" s="57">
        <f t="shared" si="0"/>
        <v>37.297581475569864</v>
      </c>
    </row>
    <row r="32" spans="1:9" hidden="1" x14ac:dyDescent="0.2">
      <c r="A32" s="23"/>
      <c r="B32" s="23"/>
      <c r="C32" s="24" t="s">
        <v>105</v>
      </c>
      <c r="D32" s="24" t="s">
        <v>106</v>
      </c>
      <c r="E32" s="24" t="s">
        <v>107</v>
      </c>
      <c r="F32" s="63"/>
      <c r="G32" s="63"/>
      <c r="H32" s="63"/>
      <c r="I32" s="57" t="e">
        <f t="shared" ref="I32:I77" si="1">H32/G32*100</f>
        <v>#DIV/0!</v>
      </c>
    </row>
    <row r="33" spans="1:9" hidden="1" x14ac:dyDescent="0.2">
      <c r="A33" s="23"/>
      <c r="B33" s="23"/>
      <c r="C33" s="24"/>
      <c r="D33" s="24" t="s">
        <v>108</v>
      </c>
      <c r="E33" s="24" t="s">
        <v>109</v>
      </c>
      <c r="F33" s="63"/>
      <c r="G33" s="63"/>
      <c r="H33" s="63"/>
      <c r="I33" s="57" t="e">
        <f t="shared" si="1"/>
        <v>#DIV/0!</v>
      </c>
    </row>
    <row r="34" spans="1:9" hidden="1" x14ac:dyDescent="0.2">
      <c r="A34" s="23"/>
      <c r="B34" s="23"/>
      <c r="C34" s="24"/>
      <c r="D34" s="24" t="s">
        <v>110</v>
      </c>
      <c r="E34" s="24" t="s">
        <v>111</v>
      </c>
      <c r="F34" s="63"/>
      <c r="G34" s="63"/>
      <c r="H34" s="63"/>
      <c r="I34" s="57" t="e">
        <f t="shared" si="1"/>
        <v>#DIV/0!</v>
      </c>
    </row>
    <row r="35" spans="1:9" hidden="1" x14ac:dyDescent="0.2">
      <c r="A35" s="23"/>
      <c r="B35" s="23"/>
      <c r="C35" s="24"/>
      <c r="D35" s="24" t="s">
        <v>112</v>
      </c>
      <c r="E35" s="24" t="s">
        <v>113</v>
      </c>
      <c r="F35" s="63"/>
      <c r="G35" s="63"/>
      <c r="H35" s="63"/>
      <c r="I35" s="57" t="e">
        <f t="shared" si="1"/>
        <v>#DIV/0!</v>
      </c>
    </row>
    <row r="36" spans="1:9" hidden="1" x14ac:dyDescent="0.2">
      <c r="A36" s="23"/>
      <c r="B36" s="23"/>
      <c r="C36" s="24"/>
      <c r="D36" s="24" t="s">
        <v>114</v>
      </c>
      <c r="E36" s="24" t="s">
        <v>115</v>
      </c>
      <c r="F36" s="63"/>
      <c r="G36" s="63"/>
      <c r="H36" s="63"/>
      <c r="I36" s="57" t="e">
        <f t="shared" si="1"/>
        <v>#DIV/0!</v>
      </c>
    </row>
    <row r="37" spans="1:9" hidden="1" x14ac:dyDescent="0.2">
      <c r="A37" s="23"/>
      <c r="B37" s="23"/>
      <c r="C37" s="24"/>
      <c r="D37" s="24" t="s">
        <v>116</v>
      </c>
      <c r="E37" s="24" t="s">
        <v>117</v>
      </c>
      <c r="F37" s="63"/>
      <c r="G37" s="63"/>
      <c r="H37" s="63"/>
      <c r="I37" s="57" t="e">
        <f t="shared" si="1"/>
        <v>#DIV/0!</v>
      </c>
    </row>
    <row r="38" spans="1:9" hidden="1" x14ac:dyDescent="0.2">
      <c r="A38" s="23"/>
      <c r="B38" s="23"/>
      <c r="C38" s="24"/>
      <c r="D38" s="24" t="s">
        <v>118</v>
      </c>
      <c r="E38" s="24" t="s">
        <v>119</v>
      </c>
      <c r="F38" s="63"/>
      <c r="G38" s="63"/>
      <c r="H38" s="63"/>
      <c r="I38" s="57" t="e">
        <f t="shared" si="1"/>
        <v>#DIV/0!</v>
      </c>
    </row>
    <row r="39" spans="1:9" hidden="1" x14ac:dyDescent="0.2">
      <c r="A39" s="23"/>
      <c r="B39" s="23"/>
      <c r="C39" s="24"/>
      <c r="D39" s="24" t="s">
        <v>120</v>
      </c>
      <c r="E39" s="24" t="s">
        <v>121</v>
      </c>
      <c r="F39" s="63"/>
      <c r="G39" s="63"/>
      <c r="H39" s="63"/>
      <c r="I39" s="57" t="e">
        <f t="shared" si="1"/>
        <v>#DIV/0!</v>
      </c>
    </row>
    <row r="40" spans="1:9" hidden="1" x14ac:dyDescent="0.2">
      <c r="A40" s="23"/>
      <c r="B40" s="23"/>
      <c r="C40" s="24"/>
      <c r="D40" s="24" t="s">
        <v>122</v>
      </c>
      <c r="E40" s="24" t="s">
        <v>123</v>
      </c>
      <c r="F40" s="63"/>
      <c r="G40" s="63"/>
      <c r="H40" s="63"/>
      <c r="I40" s="57" t="e">
        <f t="shared" si="1"/>
        <v>#DIV/0!</v>
      </c>
    </row>
    <row r="41" spans="1:9" hidden="1" x14ac:dyDescent="0.2">
      <c r="A41" s="23"/>
      <c r="B41" s="23"/>
      <c r="C41" s="24"/>
      <c r="D41" s="24" t="s">
        <v>124</v>
      </c>
      <c r="E41" s="24" t="s">
        <v>125</v>
      </c>
      <c r="F41" s="63"/>
      <c r="G41" s="63"/>
      <c r="H41" s="63"/>
      <c r="I41" s="57" t="e">
        <f t="shared" si="1"/>
        <v>#DIV/0!</v>
      </c>
    </row>
    <row r="42" spans="1:9" s="54" customFormat="1" x14ac:dyDescent="0.2">
      <c r="A42" s="51" t="s">
        <v>130</v>
      </c>
      <c r="B42" s="299" t="s">
        <v>131</v>
      </c>
      <c r="C42" s="299"/>
      <c r="D42" s="299"/>
      <c r="E42" s="299"/>
      <c r="F42" s="52">
        <f>SUM(F43:F47)</f>
        <v>730434838</v>
      </c>
      <c r="G42" s="52">
        <f>SUM(G43:G47)</f>
        <v>734189309</v>
      </c>
      <c r="H42" s="52">
        <f>SUM(H43:H47)</f>
        <v>9809695</v>
      </c>
      <c r="I42" s="53">
        <f t="shared" si="1"/>
        <v>1.3361261025935207</v>
      </c>
    </row>
    <row r="43" spans="1:9" x14ac:dyDescent="0.2">
      <c r="A43" s="55"/>
      <c r="B43" s="55" t="s">
        <v>132</v>
      </c>
      <c r="C43" s="298" t="s">
        <v>133</v>
      </c>
      <c r="D43" s="298"/>
      <c r="E43" s="298"/>
      <c r="F43" s="56">
        <v>0</v>
      </c>
      <c r="G43" s="56">
        <v>0</v>
      </c>
      <c r="H43" s="56">
        <v>0</v>
      </c>
      <c r="I43" s="62" t="s">
        <v>353</v>
      </c>
    </row>
    <row r="44" spans="1:9" x14ac:dyDescent="0.2">
      <c r="A44" s="55"/>
      <c r="B44" s="55" t="s">
        <v>134</v>
      </c>
      <c r="C44" s="298" t="s">
        <v>327</v>
      </c>
      <c r="D44" s="298"/>
      <c r="E44" s="298"/>
      <c r="F44" s="56">
        <v>0</v>
      </c>
      <c r="G44" s="56">
        <v>0</v>
      </c>
      <c r="H44" s="56">
        <v>0</v>
      </c>
      <c r="I44" s="62" t="s">
        <v>353</v>
      </c>
    </row>
    <row r="45" spans="1:9" x14ac:dyDescent="0.2">
      <c r="A45" s="55"/>
      <c r="B45" s="55" t="s">
        <v>136</v>
      </c>
      <c r="C45" s="298" t="s">
        <v>325</v>
      </c>
      <c r="D45" s="298"/>
      <c r="E45" s="298"/>
      <c r="F45" s="56">
        <v>0</v>
      </c>
      <c r="G45" s="56">
        <v>0</v>
      </c>
      <c r="H45" s="56">
        <v>0</v>
      </c>
      <c r="I45" s="62" t="s">
        <v>353</v>
      </c>
    </row>
    <row r="46" spans="1:9" x14ac:dyDescent="0.2">
      <c r="A46" s="55"/>
      <c r="B46" s="55" t="s">
        <v>138</v>
      </c>
      <c r="C46" s="298" t="s">
        <v>326</v>
      </c>
      <c r="D46" s="298"/>
      <c r="E46" s="298"/>
      <c r="F46" s="56">
        <v>0</v>
      </c>
      <c r="G46" s="56">
        <v>0</v>
      </c>
      <c r="H46" s="56">
        <v>0</v>
      </c>
      <c r="I46" s="62" t="s">
        <v>353</v>
      </c>
    </row>
    <row r="47" spans="1:9" x14ac:dyDescent="0.2">
      <c r="A47" s="55"/>
      <c r="B47" s="55" t="s">
        <v>140</v>
      </c>
      <c r="C47" s="298" t="s">
        <v>141</v>
      </c>
      <c r="D47" s="298"/>
      <c r="E47" s="298"/>
      <c r="F47" s="56">
        <v>730434838</v>
      </c>
      <c r="G47" s="56">
        <v>734189309</v>
      </c>
      <c r="H47" s="56">
        <f>9809695</f>
        <v>9809695</v>
      </c>
      <c r="I47" s="57">
        <f t="shared" si="1"/>
        <v>1.3361261025935207</v>
      </c>
    </row>
    <row r="48" spans="1:9" hidden="1" x14ac:dyDescent="0.2">
      <c r="A48" s="23"/>
      <c r="B48" s="23"/>
      <c r="C48" s="24" t="s">
        <v>105</v>
      </c>
      <c r="D48" s="24" t="s">
        <v>106</v>
      </c>
      <c r="E48" s="24" t="s">
        <v>107</v>
      </c>
      <c r="F48" s="63"/>
      <c r="G48" s="63"/>
      <c r="H48" s="63"/>
      <c r="I48" s="57" t="e">
        <f t="shared" si="1"/>
        <v>#DIV/0!</v>
      </c>
    </row>
    <row r="49" spans="1:9" hidden="1" x14ac:dyDescent="0.2">
      <c r="A49" s="23"/>
      <c r="B49" s="23"/>
      <c r="C49" s="24"/>
      <c r="D49" s="24" t="s">
        <v>108</v>
      </c>
      <c r="E49" s="24" t="s">
        <v>109</v>
      </c>
      <c r="F49" s="63"/>
      <c r="G49" s="63"/>
      <c r="H49" s="63"/>
      <c r="I49" s="57" t="e">
        <f t="shared" si="1"/>
        <v>#DIV/0!</v>
      </c>
    </row>
    <row r="50" spans="1:9" hidden="1" x14ac:dyDescent="0.2">
      <c r="A50" s="23"/>
      <c r="B50" s="23"/>
      <c r="C50" s="24"/>
      <c r="D50" s="24" t="s">
        <v>110</v>
      </c>
      <c r="E50" s="24" t="s">
        <v>111</v>
      </c>
      <c r="F50" s="63"/>
      <c r="G50" s="63"/>
      <c r="H50" s="63"/>
      <c r="I50" s="57" t="e">
        <f t="shared" si="1"/>
        <v>#DIV/0!</v>
      </c>
    </row>
    <row r="51" spans="1:9" hidden="1" x14ac:dyDescent="0.2">
      <c r="A51" s="23"/>
      <c r="B51" s="23"/>
      <c r="C51" s="24"/>
      <c r="D51" s="24" t="s">
        <v>112</v>
      </c>
      <c r="E51" s="24" t="s">
        <v>113</v>
      </c>
      <c r="F51" s="63"/>
      <c r="G51" s="63"/>
      <c r="H51" s="63"/>
      <c r="I51" s="57" t="e">
        <f t="shared" si="1"/>
        <v>#DIV/0!</v>
      </c>
    </row>
    <row r="52" spans="1:9" hidden="1" x14ac:dyDescent="0.2">
      <c r="A52" s="23"/>
      <c r="B52" s="23"/>
      <c r="C52" s="24"/>
      <c r="D52" s="24" t="s">
        <v>114</v>
      </c>
      <c r="E52" s="24" t="s">
        <v>115</v>
      </c>
      <c r="F52" s="63"/>
      <c r="G52" s="63"/>
      <c r="H52" s="63"/>
      <c r="I52" s="57" t="e">
        <f t="shared" si="1"/>
        <v>#DIV/0!</v>
      </c>
    </row>
    <row r="53" spans="1:9" hidden="1" x14ac:dyDescent="0.2">
      <c r="A53" s="23"/>
      <c r="B53" s="23"/>
      <c r="C53" s="24"/>
      <c r="D53" s="24" t="s">
        <v>116</v>
      </c>
      <c r="E53" s="24" t="s">
        <v>117</v>
      </c>
      <c r="F53" s="63"/>
      <c r="G53" s="63"/>
      <c r="H53" s="63"/>
      <c r="I53" s="57" t="e">
        <f t="shared" si="1"/>
        <v>#DIV/0!</v>
      </c>
    </row>
    <row r="54" spans="1:9" hidden="1" x14ac:dyDescent="0.2">
      <c r="A54" s="23"/>
      <c r="B54" s="23"/>
      <c r="C54" s="24"/>
      <c r="D54" s="24" t="s">
        <v>118</v>
      </c>
      <c r="E54" s="24" t="s">
        <v>119</v>
      </c>
      <c r="F54" s="63"/>
      <c r="G54" s="63"/>
      <c r="H54" s="63"/>
      <c r="I54" s="57" t="e">
        <f t="shared" si="1"/>
        <v>#DIV/0!</v>
      </c>
    </row>
    <row r="55" spans="1:9" hidden="1" x14ac:dyDescent="0.2">
      <c r="A55" s="23"/>
      <c r="B55" s="23"/>
      <c r="C55" s="24"/>
      <c r="D55" s="24" t="s">
        <v>120</v>
      </c>
      <c r="E55" s="24" t="s">
        <v>121</v>
      </c>
      <c r="F55" s="63"/>
      <c r="G55" s="63"/>
      <c r="H55" s="63"/>
      <c r="I55" s="57" t="e">
        <f t="shared" si="1"/>
        <v>#DIV/0!</v>
      </c>
    </row>
    <row r="56" spans="1:9" hidden="1" x14ac:dyDescent="0.2">
      <c r="A56" s="23"/>
      <c r="B56" s="23"/>
      <c r="C56" s="24"/>
      <c r="D56" s="24" t="s">
        <v>122</v>
      </c>
      <c r="E56" s="24" t="s">
        <v>123</v>
      </c>
      <c r="F56" s="63"/>
      <c r="G56" s="63"/>
      <c r="H56" s="63"/>
      <c r="I56" s="57" t="e">
        <f t="shared" si="1"/>
        <v>#DIV/0!</v>
      </c>
    </row>
    <row r="57" spans="1:9" hidden="1" x14ac:dyDescent="0.2">
      <c r="A57" s="23"/>
      <c r="B57" s="23"/>
      <c r="C57" s="24"/>
      <c r="D57" s="24" t="s">
        <v>124</v>
      </c>
      <c r="E57" s="24" t="s">
        <v>125</v>
      </c>
      <c r="F57" s="63"/>
      <c r="G57" s="63"/>
      <c r="H57" s="63"/>
      <c r="I57" s="57" t="e">
        <f t="shared" si="1"/>
        <v>#DIV/0!</v>
      </c>
    </row>
    <row r="58" spans="1:9" s="54" customFormat="1" x14ac:dyDescent="0.2">
      <c r="A58" s="51" t="s">
        <v>142</v>
      </c>
      <c r="B58" s="299" t="s">
        <v>143</v>
      </c>
      <c r="C58" s="299"/>
      <c r="D58" s="299"/>
      <c r="E58" s="299"/>
      <c r="F58" s="52">
        <f>SUM(F59:F77)</f>
        <v>269100000</v>
      </c>
      <c r="G58" s="52">
        <f>SUM(G59:G77)</f>
        <v>283517063</v>
      </c>
      <c r="H58" s="52">
        <f>SUM(H59:H77)</f>
        <v>199137814</v>
      </c>
      <c r="I58" s="53">
        <f t="shared" si="1"/>
        <v>70.238387733298438</v>
      </c>
    </row>
    <row r="59" spans="1:9" x14ac:dyDescent="0.2">
      <c r="A59" s="55"/>
      <c r="B59" s="55" t="s">
        <v>144</v>
      </c>
      <c r="C59" s="298" t="s">
        <v>145</v>
      </c>
      <c r="D59" s="298"/>
      <c r="E59" s="298"/>
      <c r="F59" s="56">
        <v>50000</v>
      </c>
      <c r="G59" s="56">
        <v>50000</v>
      </c>
      <c r="H59" s="56">
        <v>0</v>
      </c>
      <c r="I59" s="57">
        <f t="shared" si="1"/>
        <v>0</v>
      </c>
    </row>
    <row r="60" spans="1:9" x14ac:dyDescent="0.2">
      <c r="A60" s="55"/>
      <c r="B60" s="55" t="s">
        <v>146</v>
      </c>
      <c r="C60" s="298" t="s">
        <v>147</v>
      </c>
      <c r="D60" s="298"/>
      <c r="E60" s="298"/>
      <c r="F60" s="56">
        <v>0</v>
      </c>
      <c r="G60" s="56">
        <v>0</v>
      </c>
      <c r="H60" s="56">
        <v>0</v>
      </c>
      <c r="I60" s="62" t="s">
        <v>353</v>
      </c>
    </row>
    <row r="61" spans="1:9" x14ac:dyDescent="0.2">
      <c r="A61" s="55"/>
      <c r="B61" s="55" t="s">
        <v>148</v>
      </c>
      <c r="C61" s="298" t="s">
        <v>149</v>
      </c>
      <c r="D61" s="298"/>
      <c r="E61" s="298"/>
      <c r="F61" s="56">
        <v>0</v>
      </c>
      <c r="G61" s="56">
        <v>0</v>
      </c>
      <c r="H61" s="56">
        <v>0</v>
      </c>
      <c r="I61" s="62" t="s">
        <v>353</v>
      </c>
    </row>
    <row r="62" spans="1:9" x14ac:dyDescent="0.2">
      <c r="A62" s="55"/>
      <c r="B62" s="55" t="s">
        <v>150</v>
      </c>
      <c r="C62" s="298" t="s">
        <v>151</v>
      </c>
      <c r="D62" s="298"/>
      <c r="E62" s="298"/>
      <c r="F62" s="56">
        <v>36550000</v>
      </c>
      <c r="G62" s="56">
        <v>36550000</v>
      </c>
      <c r="H62" s="56">
        <f>18300322+330691</f>
        <v>18631013</v>
      </c>
      <c r="I62" s="57">
        <f t="shared" si="1"/>
        <v>50.97404377564979</v>
      </c>
    </row>
    <row r="63" spans="1:9" hidden="1" x14ac:dyDescent="0.2">
      <c r="A63" s="23"/>
      <c r="B63" s="23"/>
      <c r="C63" s="24"/>
      <c r="D63" s="24"/>
      <c r="E63" s="24" t="s">
        <v>152</v>
      </c>
      <c r="F63" s="198"/>
      <c r="G63" s="198"/>
      <c r="H63" s="56" t="s">
        <v>452</v>
      </c>
      <c r="I63" s="57" t="e">
        <f t="shared" si="1"/>
        <v>#VALUE!</v>
      </c>
    </row>
    <row r="64" spans="1:9" hidden="1" x14ac:dyDescent="0.2">
      <c r="A64" s="23"/>
      <c r="B64" s="23"/>
      <c r="C64" s="24"/>
      <c r="D64" s="24"/>
      <c r="E64" s="24" t="s">
        <v>153</v>
      </c>
      <c r="F64" s="198"/>
      <c r="G64" s="198"/>
      <c r="H64" s="56" t="s">
        <v>452</v>
      </c>
      <c r="I64" s="57" t="e">
        <f t="shared" si="1"/>
        <v>#VALUE!</v>
      </c>
    </row>
    <row r="65" spans="1:9" x14ac:dyDescent="0.2">
      <c r="A65" s="55"/>
      <c r="B65" s="55" t="s">
        <v>154</v>
      </c>
      <c r="C65" s="298" t="s">
        <v>155</v>
      </c>
      <c r="D65" s="298"/>
      <c r="E65" s="298"/>
      <c r="F65" s="56">
        <v>230000000</v>
      </c>
      <c r="G65" s="56">
        <v>244417063</v>
      </c>
      <c r="H65" s="56">
        <f>178255351</f>
        <v>178255351</v>
      </c>
      <c r="I65" s="57">
        <f t="shared" si="1"/>
        <v>72.930812935920102</v>
      </c>
    </row>
    <row r="66" spans="1:9" hidden="1" x14ac:dyDescent="0.2">
      <c r="A66" s="58"/>
      <c r="B66" s="58"/>
      <c r="C66" s="58" t="s">
        <v>156</v>
      </c>
      <c r="D66" s="58" t="s">
        <v>157</v>
      </c>
      <c r="E66" s="58"/>
      <c r="F66" s="59"/>
      <c r="G66" s="59"/>
      <c r="H66" s="56" t="s">
        <v>452</v>
      </c>
      <c r="I66" s="57" t="e">
        <f t="shared" si="1"/>
        <v>#VALUE!</v>
      </c>
    </row>
    <row r="67" spans="1:9" hidden="1" x14ac:dyDescent="0.2">
      <c r="A67" s="23"/>
      <c r="B67" s="23"/>
      <c r="C67" s="24"/>
      <c r="D67" s="24"/>
      <c r="E67" s="24" t="s">
        <v>158</v>
      </c>
      <c r="F67" s="63"/>
      <c r="G67" s="63"/>
      <c r="H67" s="56" t="s">
        <v>452</v>
      </c>
      <c r="I67" s="57" t="e">
        <f t="shared" si="1"/>
        <v>#VALUE!</v>
      </c>
    </row>
    <row r="68" spans="1:9" hidden="1" x14ac:dyDescent="0.2">
      <c r="A68" s="23"/>
      <c r="B68" s="23"/>
      <c r="C68" s="24"/>
      <c r="D68" s="24"/>
      <c r="E68" s="24" t="s">
        <v>159</v>
      </c>
      <c r="F68" s="63"/>
      <c r="G68" s="63"/>
      <c r="H68" s="56" t="s">
        <v>452</v>
      </c>
      <c r="I68" s="57" t="e">
        <f t="shared" si="1"/>
        <v>#VALUE!</v>
      </c>
    </row>
    <row r="69" spans="1:9" hidden="1" x14ac:dyDescent="0.2">
      <c r="A69" s="58"/>
      <c r="B69" s="58"/>
      <c r="C69" s="58" t="s">
        <v>160</v>
      </c>
      <c r="D69" s="58" t="s">
        <v>161</v>
      </c>
      <c r="E69" s="58"/>
      <c r="F69" s="59"/>
      <c r="G69" s="59"/>
      <c r="H69" s="56" t="s">
        <v>452</v>
      </c>
      <c r="I69" s="57" t="e">
        <f t="shared" si="1"/>
        <v>#VALUE!</v>
      </c>
    </row>
    <row r="70" spans="1:9" hidden="1" x14ac:dyDescent="0.2">
      <c r="A70" s="58"/>
      <c r="B70" s="58"/>
      <c r="C70" s="58" t="s">
        <v>162</v>
      </c>
      <c r="D70" s="58" t="s">
        <v>163</v>
      </c>
      <c r="E70" s="58"/>
      <c r="F70" s="59"/>
      <c r="G70" s="59"/>
      <c r="H70" s="56" t="s">
        <v>452</v>
      </c>
      <c r="I70" s="57" t="e">
        <f t="shared" si="1"/>
        <v>#VALUE!</v>
      </c>
    </row>
    <row r="71" spans="1:9" hidden="1" x14ac:dyDescent="0.2">
      <c r="A71" s="58"/>
      <c r="B71" s="58"/>
      <c r="C71" s="58" t="s">
        <v>164</v>
      </c>
      <c r="D71" s="58" t="s">
        <v>165</v>
      </c>
      <c r="E71" s="58"/>
      <c r="F71" s="59"/>
      <c r="G71" s="59"/>
      <c r="H71" s="56" t="s">
        <v>452</v>
      </c>
      <c r="I71" s="57" t="e">
        <f t="shared" si="1"/>
        <v>#VALUE!</v>
      </c>
    </row>
    <row r="72" spans="1:9" hidden="1" x14ac:dyDescent="0.2">
      <c r="A72" s="23"/>
      <c r="B72" s="23"/>
      <c r="C72" s="23"/>
      <c r="D72" s="24"/>
      <c r="E72" s="24" t="s">
        <v>166</v>
      </c>
      <c r="F72" s="63"/>
      <c r="G72" s="63"/>
      <c r="H72" s="56" t="s">
        <v>452</v>
      </c>
      <c r="I72" s="57" t="e">
        <f t="shared" si="1"/>
        <v>#VALUE!</v>
      </c>
    </row>
    <row r="73" spans="1:9" hidden="1" x14ac:dyDescent="0.2">
      <c r="A73" s="58"/>
      <c r="B73" s="58"/>
      <c r="C73" s="58" t="s">
        <v>167</v>
      </c>
      <c r="D73" s="58" t="s">
        <v>168</v>
      </c>
      <c r="E73" s="58"/>
      <c r="F73" s="59"/>
      <c r="G73" s="59"/>
      <c r="H73" s="56" t="s">
        <v>452</v>
      </c>
      <c r="I73" s="57" t="e">
        <f t="shared" si="1"/>
        <v>#VALUE!</v>
      </c>
    </row>
    <row r="74" spans="1:9" hidden="1" x14ac:dyDescent="0.2">
      <c r="A74" s="23"/>
      <c r="B74" s="23"/>
      <c r="C74" s="23"/>
      <c r="D74" s="24"/>
      <c r="E74" s="24" t="s">
        <v>169</v>
      </c>
      <c r="F74" s="63"/>
      <c r="G74" s="63"/>
      <c r="H74" s="56" t="s">
        <v>452</v>
      </c>
      <c r="I74" s="57" t="e">
        <f t="shared" si="1"/>
        <v>#VALUE!</v>
      </c>
    </row>
    <row r="75" spans="1:9" hidden="1" x14ac:dyDescent="0.2">
      <c r="A75" s="23"/>
      <c r="B75" s="23"/>
      <c r="C75" s="23"/>
      <c r="D75" s="24"/>
      <c r="E75" s="24" t="s">
        <v>170</v>
      </c>
      <c r="F75" s="63"/>
      <c r="G75" s="63"/>
      <c r="H75" s="56" t="s">
        <v>452</v>
      </c>
      <c r="I75" s="57" t="e">
        <f t="shared" si="1"/>
        <v>#VALUE!</v>
      </c>
    </row>
    <row r="76" spans="1:9" hidden="1" x14ac:dyDescent="0.2">
      <c r="A76" s="23"/>
      <c r="B76" s="23"/>
      <c r="C76" s="23"/>
      <c r="D76" s="24"/>
      <c r="E76" s="24" t="s">
        <v>171</v>
      </c>
      <c r="F76" s="63"/>
      <c r="G76" s="63"/>
      <c r="H76" s="56" t="s">
        <v>452</v>
      </c>
      <c r="I76" s="57" t="e">
        <f t="shared" si="1"/>
        <v>#VALUE!</v>
      </c>
    </row>
    <row r="77" spans="1:9" x14ac:dyDescent="0.2">
      <c r="A77" s="55"/>
      <c r="B77" s="55" t="s">
        <v>172</v>
      </c>
      <c r="C77" s="298" t="s">
        <v>60</v>
      </c>
      <c r="D77" s="298"/>
      <c r="E77" s="298"/>
      <c r="F77" s="56">
        <v>2500000</v>
      </c>
      <c r="G77" s="56">
        <v>2500000</v>
      </c>
      <c r="H77" s="56">
        <f>923600+208287+1119563</f>
        <v>2251450</v>
      </c>
      <c r="I77" s="57">
        <f t="shared" si="1"/>
        <v>90.058000000000007</v>
      </c>
    </row>
    <row r="78" spans="1:9" hidden="1" x14ac:dyDescent="0.2">
      <c r="A78" s="64"/>
      <c r="B78" s="64"/>
      <c r="C78" s="64"/>
      <c r="D78" s="24"/>
      <c r="E78" s="24" t="s">
        <v>173</v>
      </c>
      <c r="F78" s="63"/>
      <c r="G78" s="63"/>
      <c r="H78" s="63"/>
      <c r="I78" s="57" t="e">
        <f t="shared" ref="I78:I141" si="2">H78/G78*100</f>
        <v>#DIV/0!</v>
      </c>
    </row>
    <row r="79" spans="1:9" hidden="1" x14ac:dyDescent="0.2">
      <c r="A79" s="23"/>
      <c r="B79" s="23"/>
      <c r="C79" s="23"/>
      <c r="D79" s="24"/>
      <c r="E79" s="24" t="s">
        <v>174</v>
      </c>
      <c r="F79" s="63"/>
      <c r="G79" s="63"/>
      <c r="H79" s="63"/>
      <c r="I79" s="57" t="e">
        <f t="shared" si="2"/>
        <v>#DIV/0!</v>
      </c>
    </row>
    <row r="80" spans="1:9" hidden="1" x14ac:dyDescent="0.2">
      <c r="A80" s="64"/>
      <c r="B80" s="64"/>
      <c r="C80" s="64"/>
      <c r="D80" s="24"/>
      <c r="E80" s="24" t="s">
        <v>175</v>
      </c>
      <c r="F80" s="63"/>
      <c r="G80" s="63"/>
      <c r="H80" s="63"/>
      <c r="I80" s="57" t="e">
        <f t="shared" si="2"/>
        <v>#DIV/0!</v>
      </c>
    </row>
    <row r="81" spans="1:9" hidden="1" x14ac:dyDescent="0.2">
      <c r="A81" s="64"/>
      <c r="B81" s="64"/>
      <c r="C81" s="64"/>
      <c r="D81" s="24"/>
      <c r="E81" s="24" t="s">
        <v>176</v>
      </c>
      <c r="F81" s="63"/>
      <c r="G81" s="63"/>
      <c r="H81" s="63"/>
      <c r="I81" s="57" t="e">
        <f t="shared" si="2"/>
        <v>#DIV/0!</v>
      </c>
    </row>
    <row r="82" spans="1:9" hidden="1" x14ac:dyDescent="0.2">
      <c r="A82" s="64"/>
      <c r="B82" s="64"/>
      <c r="C82" s="64"/>
      <c r="D82" s="24"/>
      <c r="E82" s="24" t="s">
        <v>177</v>
      </c>
      <c r="F82" s="63"/>
      <c r="G82" s="63"/>
      <c r="H82" s="63"/>
      <c r="I82" s="57" t="e">
        <f t="shared" si="2"/>
        <v>#DIV/0!</v>
      </c>
    </row>
    <row r="83" spans="1:9" hidden="1" x14ac:dyDescent="0.2">
      <c r="A83" s="64"/>
      <c r="B83" s="64"/>
      <c r="C83" s="64"/>
      <c r="D83" s="24"/>
      <c r="E83" s="24" t="s">
        <v>178</v>
      </c>
      <c r="F83" s="63"/>
      <c r="G83" s="63"/>
      <c r="H83" s="63"/>
      <c r="I83" s="57" t="e">
        <f t="shared" si="2"/>
        <v>#DIV/0!</v>
      </c>
    </row>
    <row r="84" spans="1:9" ht="40.5" hidden="1" customHeight="1" x14ac:dyDescent="0.2">
      <c r="A84" s="23"/>
      <c r="B84" s="23"/>
      <c r="C84" s="23"/>
      <c r="D84" s="23"/>
      <c r="E84" s="65" t="s">
        <v>179</v>
      </c>
      <c r="F84" s="63"/>
      <c r="G84" s="63"/>
      <c r="H84" s="63"/>
      <c r="I84" s="57" t="e">
        <f t="shared" si="2"/>
        <v>#DIV/0!</v>
      </c>
    </row>
    <row r="85" spans="1:9" hidden="1" x14ac:dyDescent="0.2">
      <c r="A85" s="64"/>
      <c r="B85" s="64"/>
      <c r="C85" s="64"/>
      <c r="D85" s="64"/>
      <c r="E85" s="24" t="s">
        <v>180</v>
      </c>
      <c r="F85" s="63"/>
      <c r="G85" s="63"/>
      <c r="H85" s="63"/>
      <c r="I85" s="57" t="e">
        <f t="shared" si="2"/>
        <v>#DIV/0!</v>
      </c>
    </row>
    <row r="86" spans="1:9" hidden="1" x14ac:dyDescent="0.2">
      <c r="A86" s="23"/>
      <c r="B86" s="23"/>
      <c r="C86" s="23"/>
      <c r="D86" s="23"/>
      <c r="E86" s="24" t="s">
        <v>181</v>
      </c>
      <c r="F86" s="63"/>
      <c r="G86" s="63"/>
      <c r="H86" s="63"/>
      <c r="I86" s="57" t="e">
        <f t="shared" si="2"/>
        <v>#DIV/0!</v>
      </c>
    </row>
    <row r="87" spans="1:9" s="54" customFormat="1" x14ac:dyDescent="0.2">
      <c r="A87" s="51" t="s">
        <v>182</v>
      </c>
      <c r="B87" s="299" t="s">
        <v>183</v>
      </c>
      <c r="C87" s="299"/>
      <c r="D87" s="299"/>
      <c r="E87" s="299"/>
      <c r="F87" s="52">
        <f>SUM(F88:F98)</f>
        <v>167152740</v>
      </c>
      <c r="G87" s="52">
        <f>SUM(G88:G98)</f>
        <v>112931966</v>
      </c>
      <c r="H87" s="52">
        <f>SUM(H88:H98)</f>
        <v>55794206</v>
      </c>
      <c r="I87" s="53">
        <f t="shared" si="2"/>
        <v>49.405148937192862</v>
      </c>
    </row>
    <row r="88" spans="1:9" x14ac:dyDescent="0.2">
      <c r="A88" s="58"/>
      <c r="B88" s="58"/>
      <c r="C88" s="55" t="s">
        <v>184</v>
      </c>
      <c r="D88" s="311" t="s">
        <v>306</v>
      </c>
      <c r="E88" s="311"/>
      <c r="F88" s="56">
        <v>13450000</v>
      </c>
      <c r="G88" s="56">
        <v>13450000</v>
      </c>
      <c r="H88" s="56">
        <v>0</v>
      </c>
      <c r="I88" s="57">
        <f t="shared" si="2"/>
        <v>0</v>
      </c>
    </row>
    <row r="89" spans="1:9" x14ac:dyDescent="0.2">
      <c r="A89" s="58"/>
      <c r="B89" s="58"/>
      <c r="C89" s="55" t="s">
        <v>185</v>
      </c>
      <c r="D89" s="311" t="s">
        <v>186</v>
      </c>
      <c r="E89" s="311"/>
      <c r="F89" s="56">
        <v>28281224</v>
      </c>
      <c r="G89" s="56">
        <v>29172868</v>
      </c>
      <c r="H89" s="56">
        <f>1885154+95320+559040+370330+3171924+49500+4939200+4704000+2418078+27500+22150</f>
        <v>18242196</v>
      </c>
      <c r="I89" s="57">
        <f t="shared" si="2"/>
        <v>62.531376757334932</v>
      </c>
    </row>
    <row r="90" spans="1:9" x14ac:dyDescent="0.2">
      <c r="A90" s="58"/>
      <c r="B90" s="58"/>
      <c r="C90" s="55" t="s">
        <v>187</v>
      </c>
      <c r="D90" s="311" t="s">
        <v>188</v>
      </c>
      <c r="E90" s="311"/>
      <c r="F90" s="56">
        <v>2055000</v>
      </c>
      <c r="G90" s="56">
        <v>2505200</v>
      </c>
      <c r="H90" s="56">
        <f>2021164</f>
        <v>2021164</v>
      </c>
      <c r="I90" s="57">
        <f t="shared" si="2"/>
        <v>80.678748203736234</v>
      </c>
    </row>
    <row r="91" spans="1:9" x14ac:dyDescent="0.2">
      <c r="A91" s="58"/>
      <c r="B91" s="58"/>
      <c r="C91" s="55" t="s">
        <v>189</v>
      </c>
      <c r="D91" s="311" t="s">
        <v>190</v>
      </c>
      <c r="E91" s="311"/>
      <c r="F91" s="56">
        <v>815000</v>
      </c>
      <c r="G91" s="56">
        <v>815000</v>
      </c>
      <c r="H91" s="56">
        <f>334575</f>
        <v>334575</v>
      </c>
      <c r="I91" s="57">
        <f t="shared" si="2"/>
        <v>41.052147239263803</v>
      </c>
    </row>
    <row r="92" spans="1:9" x14ac:dyDescent="0.2">
      <c r="A92" s="58"/>
      <c r="B92" s="58"/>
      <c r="C92" s="55" t="s">
        <v>191</v>
      </c>
      <c r="D92" s="311" t="s">
        <v>369</v>
      </c>
      <c r="E92" s="311"/>
      <c r="F92" s="56">
        <v>45621244</v>
      </c>
      <c r="G92" s="56">
        <v>45621244</v>
      </c>
      <c r="H92" s="56">
        <f>5256848+15638306+452230</f>
        <v>21347384</v>
      </c>
      <c r="I92" s="57">
        <f t="shared" si="2"/>
        <v>46.792638973194158</v>
      </c>
    </row>
    <row r="93" spans="1:9" x14ac:dyDescent="0.2">
      <c r="A93" s="58"/>
      <c r="B93" s="58"/>
      <c r="C93" s="55" t="s">
        <v>192</v>
      </c>
      <c r="D93" s="311" t="s">
        <v>193</v>
      </c>
      <c r="E93" s="311"/>
      <c r="F93" s="56">
        <v>15046086</v>
      </c>
      <c r="G93" s="56">
        <v>18407640</v>
      </c>
      <c r="H93" s="56">
        <f>3785714+666287+1419284+4222174</f>
        <v>10093459</v>
      </c>
      <c r="I93" s="57">
        <f t="shared" si="2"/>
        <v>54.832987824620652</v>
      </c>
    </row>
    <row r="94" spans="1:9" x14ac:dyDescent="0.2">
      <c r="A94" s="58"/>
      <c r="B94" s="58"/>
      <c r="C94" s="55" t="s">
        <v>194</v>
      </c>
      <c r="D94" s="311" t="s">
        <v>195</v>
      </c>
      <c r="E94" s="311"/>
      <c r="F94" s="56">
        <v>0</v>
      </c>
      <c r="G94" s="56">
        <v>0</v>
      </c>
      <c r="H94" s="56"/>
      <c r="I94" s="62" t="s">
        <v>353</v>
      </c>
    </row>
    <row r="95" spans="1:9" x14ac:dyDescent="0.2">
      <c r="A95" s="58"/>
      <c r="B95" s="58"/>
      <c r="C95" s="55" t="s">
        <v>196</v>
      </c>
      <c r="D95" s="311" t="s">
        <v>337</v>
      </c>
      <c r="E95" s="311"/>
      <c r="F95" s="56">
        <v>2000000</v>
      </c>
      <c r="G95" s="56">
        <v>2000000</v>
      </c>
      <c r="H95" s="56">
        <f>66+1466301+5</f>
        <v>1466372</v>
      </c>
      <c r="I95" s="57">
        <f t="shared" si="2"/>
        <v>73.318600000000004</v>
      </c>
    </row>
    <row r="96" spans="1:9" x14ac:dyDescent="0.2">
      <c r="A96" s="58"/>
      <c r="B96" s="58"/>
      <c r="C96" s="55" t="s">
        <v>197</v>
      </c>
      <c r="D96" s="311" t="s">
        <v>324</v>
      </c>
      <c r="E96" s="311"/>
      <c r="F96" s="56">
        <v>0</v>
      </c>
      <c r="G96" s="56">
        <v>0</v>
      </c>
      <c r="H96" s="56">
        <v>0</v>
      </c>
      <c r="I96" s="62" t="s">
        <v>353</v>
      </c>
    </row>
    <row r="97" spans="1:9" x14ac:dyDescent="0.2">
      <c r="A97" s="58"/>
      <c r="B97" s="58"/>
      <c r="C97" s="55" t="s">
        <v>198</v>
      </c>
      <c r="D97" s="311" t="s">
        <v>307</v>
      </c>
      <c r="E97" s="311"/>
      <c r="F97" s="56">
        <v>0</v>
      </c>
      <c r="G97" s="56">
        <v>0</v>
      </c>
      <c r="H97" s="56">
        <f>27385</f>
        <v>27385</v>
      </c>
      <c r="I97" s="62" t="s">
        <v>353</v>
      </c>
    </row>
    <row r="98" spans="1:9" x14ac:dyDescent="0.2">
      <c r="A98" s="58"/>
      <c r="B98" s="58"/>
      <c r="C98" s="55" t="s">
        <v>308</v>
      </c>
      <c r="D98" s="311" t="s">
        <v>309</v>
      </c>
      <c r="E98" s="311"/>
      <c r="F98" s="56">
        <v>59884186</v>
      </c>
      <c r="G98" s="56">
        <v>960014</v>
      </c>
      <c r="H98" s="56">
        <f>45650+739696+1+380000+15000+250000+40000+415315+11818+273988+90203</f>
        <v>2261671</v>
      </c>
      <c r="I98" s="57">
        <f t="shared" si="2"/>
        <v>235.58729351863619</v>
      </c>
    </row>
    <row r="99" spans="1:9" s="54" customFormat="1" x14ac:dyDescent="0.2">
      <c r="A99" s="51" t="s">
        <v>199</v>
      </c>
      <c r="B99" s="299" t="s">
        <v>200</v>
      </c>
      <c r="C99" s="299"/>
      <c r="D99" s="299"/>
      <c r="E99" s="299"/>
      <c r="F99" s="52">
        <f>SUM(F100:F104)</f>
        <v>0</v>
      </c>
      <c r="G99" s="52">
        <f>SUM(G100:G104)</f>
        <v>12000000</v>
      </c>
      <c r="H99" s="52">
        <f>SUM(H100:H104)</f>
        <v>12000000</v>
      </c>
      <c r="I99" s="53">
        <f t="shared" si="2"/>
        <v>100</v>
      </c>
    </row>
    <row r="100" spans="1:9" x14ac:dyDescent="0.2">
      <c r="A100" s="55"/>
      <c r="B100" s="55" t="s">
        <v>201</v>
      </c>
      <c r="C100" s="298" t="s">
        <v>202</v>
      </c>
      <c r="D100" s="298"/>
      <c r="E100" s="298"/>
      <c r="F100" s="56">
        <v>0</v>
      </c>
      <c r="G100" s="56">
        <v>0</v>
      </c>
      <c r="H100" s="56">
        <v>0</v>
      </c>
      <c r="I100" s="62" t="s">
        <v>353</v>
      </c>
    </row>
    <row r="101" spans="1:9" x14ac:dyDescent="0.2">
      <c r="A101" s="55"/>
      <c r="B101" s="55" t="s">
        <v>203</v>
      </c>
      <c r="C101" s="298" t="s">
        <v>204</v>
      </c>
      <c r="D101" s="298"/>
      <c r="E101" s="298"/>
      <c r="F101" s="56">
        <v>0</v>
      </c>
      <c r="G101" s="56">
        <v>12000000</v>
      </c>
      <c r="H101" s="56">
        <f>12000000</f>
        <v>12000000</v>
      </c>
      <c r="I101" s="57">
        <f t="shared" si="2"/>
        <v>100</v>
      </c>
    </row>
    <row r="102" spans="1:9" x14ac:dyDescent="0.2">
      <c r="A102" s="55"/>
      <c r="B102" s="55" t="s">
        <v>205</v>
      </c>
      <c r="C102" s="298" t="s">
        <v>206</v>
      </c>
      <c r="D102" s="298"/>
      <c r="E102" s="298"/>
      <c r="F102" s="56">
        <v>0</v>
      </c>
      <c r="G102" s="56">
        <v>0</v>
      </c>
      <c r="H102" s="56">
        <v>0</v>
      </c>
      <c r="I102" s="62" t="s">
        <v>353</v>
      </c>
    </row>
    <row r="103" spans="1:9" x14ac:dyDescent="0.2">
      <c r="A103" s="55"/>
      <c r="B103" s="55" t="s">
        <v>207</v>
      </c>
      <c r="C103" s="298" t="s">
        <v>208</v>
      </c>
      <c r="D103" s="298"/>
      <c r="E103" s="298"/>
      <c r="F103" s="56">
        <v>0</v>
      </c>
      <c r="G103" s="56">
        <v>0</v>
      </c>
      <c r="H103" s="56">
        <v>0</v>
      </c>
      <c r="I103" s="62" t="s">
        <v>353</v>
      </c>
    </row>
    <row r="104" spans="1:9" x14ac:dyDescent="0.2">
      <c r="A104" s="55"/>
      <c r="B104" s="55" t="s">
        <v>209</v>
      </c>
      <c r="C104" s="298" t="s">
        <v>210</v>
      </c>
      <c r="D104" s="298"/>
      <c r="E104" s="298"/>
      <c r="F104" s="56">
        <v>0</v>
      </c>
      <c r="G104" s="56">
        <v>0</v>
      </c>
      <c r="H104" s="56">
        <v>0</v>
      </c>
      <c r="I104" s="62" t="s">
        <v>353</v>
      </c>
    </row>
    <row r="105" spans="1:9" s="54" customFormat="1" x14ac:dyDescent="0.2">
      <c r="A105" s="51" t="s">
        <v>211</v>
      </c>
      <c r="B105" s="299" t="s">
        <v>212</v>
      </c>
      <c r="C105" s="299"/>
      <c r="D105" s="299"/>
      <c r="E105" s="299"/>
      <c r="F105" s="52">
        <f>SUM(F106:F120)</f>
        <v>9150000</v>
      </c>
      <c r="G105" s="52">
        <f>SUM(G106:G120)</f>
        <v>11768612</v>
      </c>
      <c r="H105" s="52">
        <f>SUM(H106:H120)</f>
        <v>3989950</v>
      </c>
      <c r="I105" s="53">
        <f t="shared" si="2"/>
        <v>33.90331842021812</v>
      </c>
    </row>
    <row r="106" spans="1:9" x14ac:dyDescent="0.2">
      <c r="A106" s="55"/>
      <c r="B106" s="55" t="s">
        <v>213</v>
      </c>
      <c r="C106" s="298" t="s">
        <v>214</v>
      </c>
      <c r="D106" s="298"/>
      <c r="E106" s="298"/>
      <c r="F106" s="56">
        <v>0</v>
      </c>
      <c r="G106" s="56">
        <v>0</v>
      </c>
      <c r="H106" s="56">
        <v>0</v>
      </c>
      <c r="I106" s="62" t="s">
        <v>353</v>
      </c>
    </row>
    <row r="107" spans="1:9" x14ac:dyDescent="0.2">
      <c r="A107" s="55"/>
      <c r="B107" s="55" t="s">
        <v>215</v>
      </c>
      <c r="C107" s="298" t="s">
        <v>310</v>
      </c>
      <c r="D107" s="298"/>
      <c r="E107" s="298"/>
      <c r="F107" s="56">
        <v>0</v>
      </c>
      <c r="G107" s="56">
        <v>0</v>
      </c>
      <c r="H107" s="56">
        <v>0</v>
      </c>
      <c r="I107" s="62" t="s">
        <v>353</v>
      </c>
    </row>
    <row r="108" spans="1:9" hidden="1" x14ac:dyDescent="0.2">
      <c r="A108" s="61"/>
      <c r="B108" s="61"/>
      <c r="C108" s="24" t="s">
        <v>105</v>
      </c>
      <c r="D108" s="24" t="s">
        <v>106</v>
      </c>
      <c r="E108" s="24" t="s">
        <v>217</v>
      </c>
      <c r="F108" s="56"/>
      <c r="G108" s="56"/>
      <c r="H108" s="56"/>
      <c r="I108" s="62" t="s">
        <v>353</v>
      </c>
    </row>
    <row r="109" spans="1:9" hidden="1" x14ac:dyDescent="0.2">
      <c r="A109" s="61"/>
      <c r="B109" s="61"/>
      <c r="C109" s="24"/>
      <c r="D109" s="24" t="s">
        <v>108</v>
      </c>
      <c r="E109" s="24" t="s">
        <v>218</v>
      </c>
      <c r="F109" s="56"/>
      <c r="G109" s="56"/>
      <c r="H109" s="56"/>
      <c r="I109" s="62" t="s">
        <v>353</v>
      </c>
    </row>
    <row r="110" spans="1:9" hidden="1" x14ac:dyDescent="0.2">
      <c r="A110" s="61"/>
      <c r="B110" s="61"/>
      <c r="C110" s="24"/>
      <c r="D110" s="24" t="s">
        <v>110</v>
      </c>
      <c r="E110" s="24" t="s">
        <v>219</v>
      </c>
      <c r="F110" s="56"/>
      <c r="G110" s="56"/>
      <c r="H110" s="56"/>
      <c r="I110" s="62" t="s">
        <v>353</v>
      </c>
    </row>
    <row r="111" spans="1:9" hidden="1" x14ac:dyDescent="0.2">
      <c r="A111" s="61"/>
      <c r="B111" s="61"/>
      <c r="C111" s="24"/>
      <c r="D111" s="24" t="s">
        <v>112</v>
      </c>
      <c r="E111" s="24" t="s">
        <v>220</v>
      </c>
      <c r="F111" s="56"/>
      <c r="G111" s="56"/>
      <c r="H111" s="56"/>
      <c r="I111" s="62" t="s">
        <v>353</v>
      </c>
    </row>
    <row r="112" spans="1:9" hidden="1" x14ac:dyDescent="0.2">
      <c r="A112" s="61"/>
      <c r="B112" s="61"/>
      <c r="C112" s="24"/>
      <c r="D112" s="24" t="s">
        <v>114</v>
      </c>
      <c r="E112" s="24" t="s">
        <v>221</v>
      </c>
      <c r="F112" s="56"/>
      <c r="G112" s="56"/>
      <c r="H112" s="56"/>
      <c r="I112" s="62" t="s">
        <v>353</v>
      </c>
    </row>
    <row r="113" spans="1:12" hidden="1" x14ac:dyDescent="0.2">
      <c r="A113" s="61"/>
      <c r="B113" s="61"/>
      <c r="C113" s="24"/>
      <c r="D113" s="24" t="s">
        <v>116</v>
      </c>
      <c r="E113" s="24" t="s">
        <v>222</v>
      </c>
      <c r="F113" s="56"/>
      <c r="G113" s="56"/>
      <c r="H113" s="56"/>
      <c r="I113" s="62" t="s">
        <v>353</v>
      </c>
    </row>
    <row r="114" spans="1:12" hidden="1" x14ac:dyDescent="0.2">
      <c r="A114" s="61"/>
      <c r="B114" s="61"/>
      <c r="C114" s="24"/>
      <c r="D114" s="24" t="s">
        <v>118</v>
      </c>
      <c r="E114" s="24" t="s">
        <v>223</v>
      </c>
      <c r="F114" s="56"/>
      <c r="G114" s="56"/>
      <c r="H114" s="56"/>
      <c r="I114" s="62" t="s">
        <v>353</v>
      </c>
    </row>
    <row r="115" spans="1:12" hidden="1" x14ac:dyDescent="0.2">
      <c r="A115" s="61"/>
      <c r="B115" s="61"/>
      <c r="C115" s="24"/>
      <c r="D115" s="24" t="s">
        <v>120</v>
      </c>
      <c r="E115" s="24" t="s">
        <v>224</v>
      </c>
      <c r="F115" s="56"/>
      <c r="G115" s="56"/>
      <c r="H115" s="56"/>
      <c r="I115" s="62" t="s">
        <v>353</v>
      </c>
    </row>
    <row r="116" spans="1:12" hidden="1" x14ac:dyDescent="0.2">
      <c r="A116" s="61"/>
      <c r="B116" s="61"/>
      <c r="C116" s="24"/>
      <c r="D116" s="24" t="s">
        <v>122</v>
      </c>
      <c r="E116" s="24" t="s">
        <v>225</v>
      </c>
      <c r="F116" s="56"/>
      <c r="G116" s="56"/>
      <c r="H116" s="56"/>
      <c r="I116" s="62" t="s">
        <v>353</v>
      </c>
    </row>
    <row r="117" spans="1:12" hidden="1" x14ac:dyDescent="0.2">
      <c r="A117" s="61"/>
      <c r="B117" s="61"/>
      <c r="C117" s="24"/>
      <c r="D117" s="24" t="s">
        <v>124</v>
      </c>
      <c r="E117" s="24" t="s">
        <v>226</v>
      </c>
      <c r="F117" s="56"/>
      <c r="G117" s="56"/>
      <c r="H117" s="56"/>
      <c r="I117" s="62" t="s">
        <v>353</v>
      </c>
    </row>
    <row r="118" spans="1:12" ht="25.5" customHeight="1" x14ac:dyDescent="0.2">
      <c r="A118" s="61"/>
      <c r="B118" s="66" t="s">
        <v>227</v>
      </c>
      <c r="C118" s="312" t="s">
        <v>331</v>
      </c>
      <c r="D118" s="313"/>
      <c r="E118" s="314"/>
      <c r="F118" s="56">
        <v>0</v>
      </c>
      <c r="G118" s="56">
        <v>0</v>
      </c>
      <c r="H118" s="56">
        <v>0</v>
      </c>
      <c r="I118" s="62" t="s">
        <v>353</v>
      </c>
    </row>
    <row r="119" spans="1:12" ht="25.5" customHeight="1" x14ac:dyDescent="0.2">
      <c r="A119" s="61"/>
      <c r="B119" s="55" t="s">
        <v>311</v>
      </c>
      <c r="C119" s="311" t="s">
        <v>332</v>
      </c>
      <c r="D119" s="311"/>
      <c r="E119" s="311"/>
      <c r="F119" s="56">
        <v>150000</v>
      </c>
      <c r="G119" s="56">
        <v>755481</v>
      </c>
      <c r="H119" s="56">
        <f>147500</f>
        <v>147500</v>
      </c>
      <c r="I119" s="57">
        <f t="shared" si="2"/>
        <v>19.523985381498672</v>
      </c>
    </row>
    <row r="120" spans="1:12" x14ac:dyDescent="0.2">
      <c r="A120" s="55"/>
      <c r="B120" s="55" t="s">
        <v>312</v>
      </c>
      <c r="C120" s="298" t="s">
        <v>228</v>
      </c>
      <c r="D120" s="298"/>
      <c r="E120" s="298"/>
      <c r="F120" s="56">
        <v>9000000</v>
      </c>
      <c r="G120" s="56">
        <v>11013131</v>
      </c>
      <c r="H120" s="56">
        <f>3842450</f>
        <v>3842450</v>
      </c>
      <c r="I120" s="62" t="s">
        <v>353</v>
      </c>
    </row>
    <row r="121" spans="1:12" s="54" customFormat="1" x14ac:dyDescent="0.2">
      <c r="A121" s="51" t="s">
        <v>229</v>
      </c>
      <c r="B121" s="299" t="s">
        <v>230</v>
      </c>
      <c r="C121" s="299"/>
      <c r="D121" s="299"/>
      <c r="E121" s="299"/>
      <c r="F121" s="52">
        <f>SUM(F122:F126)</f>
        <v>0</v>
      </c>
      <c r="G121" s="52">
        <f>SUM(G122:G126)</f>
        <v>0</v>
      </c>
      <c r="H121" s="52">
        <f>SUM(H122:H126)</f>
        <v>172816</v>
      </c>
      <c r="I121" s="211" t="s">
        <v>353</v>
      </c>
    </row>
    <row r="122" spans="1:12" x14ac:dyDescent="0.2">
      <c r="A122" s="55"/>
      <c r="B122" s="55" t="s">
        <v>231</v>
      </c>
      <c r="C122" s="298" t="s">
        <v>232</v>
      </c>
      <c r="D122" s="298"/>
      <c r="E122" s="298"/>
      <c r="F122" s="56">
        <v>0</v>
      </c>
      <c r="G122" s="56">
        <v>0</v>
      </c>
      <c r="H122" s="56">
        <v>0</v>
      </c>
      <c r="I122" s="62" t="s">
        <v>353</v>
      </c>
    </row>
    <row r="123" spans="1:12" x14ac:dyDescent="0.2">
      <c r="A123" s="61"/>
      <c r="B123" s="55" t="s">
        <v>233</v>
      </c>
      <c r="C123" s="298" t="s">
        <v>313</v>
      </c>
      <c r="D123" s="298"/>
      <c r="E123" s="298"/>
      <c r="F123" s="56">
        <v>0</v>
      </c>
      <c r="G123" s="56">
        <v>0</v>
      </c>
      <c r="H123" s="56">
        <v>0</v>
      </c>
      <c r="I123" s="62" t="s">
        <v>353</v>
      </c>
    </row>
    <row r="124" spans="1:12" ht="27" customHeight="1" x14ac:dyDescent="0.2">
      <c r="A124" s="61"/>
      <c r="B124" s="66" t="s">
        <v>235</v>
      </c>
      <c r="C124" s="312" t="s">
        <v>333</v>
      </c>
      <c r="D124" s="313"/>
      <c r="E124" s="314"/>
      <c r="F124" s="56">
        <v>0</v>
      </c>
      <c r="G124" s="56">
        <v>0</v>
      </c>
      <c r="H124" s="56">
        <v>0</v>
      </c>
      <c r="I124" s="62" t="s">
        <v>353</v>
      </c>
    </row>
    <row r="125" spans="1:12" x14ac:dyDescent="0.2">
      <c r="A125" s="61"/>
      <c r="B125" s="55" t="s">
        <v>314</v>
      </c>
      <c r="C125" s="298" t="s">
        <v>234</v>
      </c>
      <c r="D125" s="298"/>
      <c r="E125" s="298"/>
      <c r="F125" s="56">
        <v>0</v>
      </c>
      <c r="G125" s="56">
        <v>0</v>
      </c>
      <c r="H125" s="56">
        <v>0</v>
      </c>
      <c r="I125" s="62" t="s">
        <v>353</v>
      </c>
      <c r="K125" s="217">
        <v>1187713017</v>
      </c>
    </row>
    <row r="126" spans="1:12" x14ac:dyDescent="0.2">
      <c r="A126" s="61"/>
      <c r="B126" s="55" t="s">
        <v>315</v>
      </c>
      <c r="C126" s="298" t="s">
        <v>334</v>
      </c>
      <c r="D126" s="298"/>
      <c r="E126" s="298"/>
      <c r="F126" s="56"/>
      <c r="G126" s="56"/>
      <c r="H126" s="56">
        <f>172816</f>
        <v>172816</v>
      </c>
      <c r="I126" s="62" t="s">
        <v>353</v>
      </c>
      <c r="K126" s="217">
        <v>130000000</v>
      </c>
      <c r="L126" s="48" t="s">
        <v>449</v>
      </c>
    </row>
    <row r="127" spans="1:12" s="54" customFormat="1" x14ac:dyDescent="0.2">
      <c r="A127" s="51" t="s">
        <v>237</v>
      </c>
      <c r="B127" s="299" t="s">
        <v>238</v>
      </c>
      <c r="C127" s="299"/>
      <c r="D127" s="299"/>
      <c r="E127" s="299"/>
      <c r="F127" s="52">
        <f>SUM(F128:F146)</f>
        <v>206014481</v>
      </c>
      <c r="G127" s="52">
        <f>SUM(G128:G146)</f>
        <v>268183498</v>
      </c>
      <c r="H127" s="67">
        <f>SUM(H128:H146)</f>
        <v>268183498</v>
      </c>
      <c r="I127" s="62" t="s">
        <v>353</v>
      </c>
      <c r="K127" s="218">
        <f>SUM(K125:K126)</f>
        <v>1317713017</v>
      </c>
    </row>
    <row r="128" spans="1:12" x14ac:dyDescent="0.2">
      <c r="A128" s="61"/>
      <c r="B128" s="55" t="s">
        <v>239</v>
      </c>
      <c r="C128" s="298" t="s">
        <v>240</v>
      </c>
      <c r="D128" s="298"/>
      <c r="E128" s="298"/>
      <c r="F128" s="56">
        <v>206014481</v>
      </c>
      <c r="G128" s="56">
        <v>268183498</v>
      </c>
      <c r="H128" s="56">
        <f>268183498</f>
        <v>268183498</v>
      </c>
      <c r="I128" s="57">
        <f t="shared" si="2"/>
        <v>100</v>
      </c>
    </row>
    <row r="129" spans="1:9" hidden="1" x14ac:dyDescent="0.2">
      <c r="A129" s="58"/>
      <c r="B129" s="58"/>
      <c r="C129" s="58" t="s">
        <v>241</v>
      </c>
      <c r="D129" s="58" t="s">
        <v>242</v>
      </c>
      <c r="E129" s="58"/>
      <c r="F129" s="59"/>
      <c r="G129" s="59"/>
      <c r="H129" s="59"/>
      <c r="I129" s="57" t="e">
        <f t="shared" si="2"/>
        <v>#DIV/0!</v>
      </c>
    </row>
    <row r="130" spans="1:9" hidden="1" x14ac:dyDescent="0.2">
      <c r="A130" s="68"/>
      <c r="B130" s="68"/>
      <c r="C130" s="68"/>
      <c r="D130" s="68" t="s">
        <v>243</v>
      </c>
      <c r="E130" s="68" t="s">
        <v>244</v>
      </c>
      <c r="F130" s="69"/>
      <c r="G130" s="69"/>
      <c r="H130" s="69"/>
      <c r="I130" s="57" t="e">
        <f t="shared" si="2"/>
        <v>#DIV/0!</v>
      </c>
    </row>
    <row r="131" spans="1:9" hidden="1" x14ac:dyDescent="0.2">
      <c r="A131" s="68"/>
      <c r="B131" s="68"/>
      <c r="C131" s="68"/>
      <c r="D131" s="68" t="s">
        <v>245</v>
      </c>
      <c r="E131" s="68" t="s">
        <v>246</v>
      </c>
      <c r="F131" s="69"/>
      <c r="G131" s="69"/>
      <c r="H131" s="69"/>
      <c r="I131" s="57" t="e">
        <f t="shared" si="2"/>
        <v>#DIV/0!</v>
      </c>
    </row>
    <row r="132" spans="1:9" hidden="1" x14ac:dyDescent="0.2">
      <c r="A132" s="68"/>
      <c r="B132" s="68"/>
      <c r="C132" s="68"/>
      <c r="D132" s="68" t="s">
        <v>247</v>
      </c>
      <c r="E132" s="68" t="s">
        <v>248</v>
      </c>
      <c r="F132" s="69"/>
      <c r="G132" s="69"/>
      <c r="H132" s="69"/>
      <c r="I132" s="57" t="e">
        <f t="shared" si="2"/>
        <v>#DIV/0!</v>
      </c>
    </row>
    <row r="133" spans="1:9" hidden="1" x14ac:dyDescent="0.2">
      <c r="A133" s="58"/>
      <c r="B133" s="58"/>
      <c r="C133" s="58" t="s">
        <v>249</v>
      </c>
      <c r="D133" s="58" t="s">
        <v>250</v>
      </c>
      <c r="E133" s="58"/>
      <c r="F133" s="59"/>
      <c r="G133" s="59"/>
      <c r="H133" s="59"/>
      <c r="I133" s="57" t="e">
        <f t="shared" si="2"/>
        <v>#DIV/0!</v>
      </c>
    </row>
    <row r="134" spans="1:9" hidden="1" x14ac:dyDescent="0.2">
      <c r="A134" s="58"/>
      <c r="B134" s="58"/>
      <c r="C134" s="58" t="s">
        <v>251</v>
      </c>
      <c r="D134" s="58" t="s">
        <v>252</v>
      </c>
      <c r="E134" s="58"/>
      <c r="F134" s="59"/>
      <c r="G134" s="59"/>
      <c r="H134" s="59"/>
      <c r="I134" s="57" t="e">
        <f t="shared" si="2"/>
        <v>#DIV/0!</v>
      </c>
    </row>
    <row r="135" spans="1:9" hidden="1" x14ac:dyDescent="0.2">
      <c r="A135" s="68"/>
      <c r="B135" s="68"/>
      <c r="C135" s="68"/>
      <c r="D135" s="68" t="s">
        <v>253</v>
      </c>
      <c r="E135" s="68" t="s">
        <v>254</v>
      </c>
      <c r="F135" s="69"/>
      <c r="G135" s="69"/>
      <c r="H135" s="69"/>
      <c r="I135" s="57" t="e">
        <f t="shared" si="2"/>
        <v>#DIV/0!</v>
      </c>
    </row>
    <row r="136" spans="1:9" s="73" customFormat="1" hidden="1" x14ac:dyDescent="0.2">
      <c r="A136" s="70"/>
      <c r="B136" s="70"/>
      <c r="C136" s="70"/>
      <c r="D136" s="70"/>
      <c r="E136" s="71" t="s">
        <v>255</v>
      </c>
      <c r="F136" s="72"/>
      <c r="G136" s="72"/>
      <c r="H136" s="72"/>
      <c r="I136" s="57" t="e">
        <f t="shared" si="2"/>
        <v>#DIV/0!</v>
      </c>
    </row>
    <row r="137" spans="1:9" s="73" customFormat="1" hidden="1" x14ac:dyDescent="0.2">
      <c r="A137" s="70"/>
      <c r="B137" s="70"/>
      <c r="C137" s="70"/>
      <c r="D137" s="70"/>
      <c r="E137" s="71" t="s">
        <v>256</v>
      </c>
      <c r="F137" s="72"/>
      <c r="G137" s="72"/>
      <c r="H137" s="72"/>
      <c r="I137" s="57" t="e">
        <f t="shared" si="2"/>
        <v>#DIV/0!</v>
      </c>
    </row>
    <row r="138" spans="1:9" hidden="1" x14ac:dyDescent="0.2">
      <c r="A138" s="68"/>
      <c r="B138" s="68"/>
      <c r="C138" s="68"/>
      <c r="D138" s="68" t="s">
        <v>257</v>
      </c>
      <c r="E138" s="68" t="s">
        <v>258</v>
      </c>
      <c r="F138" s="69"/>
      <c r="G138" s="69"/>
      <c r="H138" s="69"/>
      <c r="I138" s="57" t="e">
        <f t="shared" si="2"/>
        <v>#DIV/0!</v>
      </c>
    </row>
    <row r="139" spans="1:9" hidden="1" x14ac:dyDescent="0.2">
      <c r="A139" s="58"/>
      <c r="B139" s="58"/>
      <c r="C139" s="58" t="s">
        <v>259</v>
      </c>
      <c r="D139" s="58" t="s">
        <v>260</v>
      </c>
      <c r="E139" s="58"/>
      <c r="F139" s="59"/>
      <c r="G139" s="59"/>
      <c r="H139" s="59"/>
      <c r="I139" s="57" t="e">
        <f t="shared" si="2"/>
        <v>#DIV/0!</v>
      </c>
    </row>
    <row r="140" spans="1:9" hidden="1" x14ac:dyDescent="0.2">
      <c r="A140" s="58"/>
      <c r="B140" s="58"/>
      <c r="C140" s="58" t="s">
        <v>261</v>
      </c>
      <c r="D140" s="58" t="s">
        <v>262</v>
      </c>
      <c r="E140" s="58"/>
      <c r="F140" s="59"/>
      <c r="G140" s="59"/>
      <c r="H140" s="59"/>
      <c r="I140" s="57" t="e">
        <f t="shared" si="2"/>
        <v>#DIV/0!</v>
      </c>
    </row>
    <row r="141" spans="1:9" hidden="1" x14ac:dyDescent="0.2">
      <c r="A141" s="58"/>
      <c r="B141" s="58"/>
      <c r="C141" s="58" t="s">
        <v>263</v>
      </c>
      <c r="D141" s="58" t="s">
        <v>264</v>
      </c>
      <c r="E141" s="58"/>
      <c r="F141" s="59"/>
      <c r="G141" s="59"/>
      <c r="H141" s="59"/>
      <c r="I141" s="57" t="e">
        <f t="shared" si="2"/>
        <v>#DIV/0!</v>
      </c>
    </row>
    <row r="142" spans="1:9" hidden="1" x14ac:dyDescent="0.2">
      <c r="A142" s="58"/>
      <c r="B142" s="58"/>
      <c r="C142" s="58" t="s">
        <v>265</v>
      </c>
      <c r="D142" s="58" t="s">
        <v>266</v>
      </c>
      <c r="E142" s="58"/>
      <c r="F142" s="59"/>
      <c r="G142" s="59"/>
      <c r="H142" s="59"/>
      <c r="I142" s="57" t="e">
        <f>H142/G142*100</f>
        <v>#DIV/0!</v>
      </c>
    </row>
    <row r="143" spans="1:9" hidden="1" x14ac:dyDescent="0.2">
      <c r="A143" s="58"/>
      <c r="B143" s="58"/>
      <c r="C143" s="58" t="s">
        <v>267</v>
      </c>
      <c r="D143" s="58" t="s">
        <v>268</v>
      </c>
      <c r="E143" s="58"/>
      <c r="F143" s="59"/>
      <c r="G143" s="59"/>
      <c r="H143" s="59"/>
      <c r="I143" s="57" t="e">
        <f>H143/G143*100</f>
        <v>#DIV/0!</v>
      </c>
    </row>
    <row r="144" spans="1:9" x14ac:dyDescent="0.2">
      <c r="A144" s="61"/>
      <c r="B144" s="55" t="s">
        <v>269</v>
      </c>
      <c r="C144" s="298" t="s">
        <v>270</v>
      </c>
      <c r="D144" s="298"/>
      <c r="E144" s="298"/>
      <c r="F144" s="56">
        <v>0</v>
      </c>
      <c r="G144" s="56">
        <v>0</v>
      </c>
      <c r="H144" s="56">
        <v>0</v>
      </c>
      <c r="I144" s="62" t="s">
        <v>353</v>
      </c>
    </row>
    <row r="145" spans="1:9" x14ac:dyDescent="0.2">
      <c r="A145" s="61"/>
      <c r="B145" s="55" t="s">
        <v>271</v>
      </c>
      <c r="C145" s="298" t="s">
        <v>272</v>
      </c>
      <c r="D145" s="298"/>
      <c r="E145" s="298"/>
      <c r="F145" s="56">
        <v>0</v>
      </c>
      <c r="G145" s="56">
        <v>0</v>
      </c>
      <c r="H145" s="56">
        <v>0</v>
      </c>
      <c r="I145" s="62" t="s">
        <v>353</v>
      </c>
    </row>
    <row r="146" spans="1:9" x14ac:dyDescent="0.2">
      <c r="A146" s="61"/>
      <c r="B146" s="55" t="s">
        <v>316</v>
      </c>
      <c r="C146" s="315" t="s">
        <v>317</v>
      </c>
      <c r="D146" s="316"/>
      <c r="E146" s="317"/>
      <c r="F146" s="56">
        <v>0</v>
      </c>
      <c r="G146" s="56">
        <v>0</v>
      </c>
      <c r="H146" s="56">
        <v>0</v>
      </c>
      <c r="I146" s="62" t="s">
        <v>353</v>
      </c>
    </row>
    <row r="147" spans="1:9" s="50" customFormat="1" ht="15.75" x14ac:dyDescent="0.25">
      <c r="A147" s="318" t="s">
        <v>274</v>
      </c>
      <c r="B147" s="318"/>
      <c r="C147" s="318"/>
      <c r="D147" s="318"/>
      <c r="E147" s="318"/>
      <c r="F147" s="74">
        <f>SUM(F127+F121+F105+F99+F87+F58+F42+F9)</f>
        <v>2472051922</v>
      </c>
      <c r="G147" s="74">
        <f>SUM(G127+G121+G105+G99+G87+G58+G42+G9)</f>
        <v>2729891576</v>
      </c>
      <c r="H147" s="74">
        <f>SUM(H127+H121+H105+H99+H87+H58+H42+H9)</f>
        <v>1188114946</v>
      </c>
      <c r="I147" s="75">
        <f>H147/G147*100</f>
        <v>43.522422518365985</v>
      </c>
    </row>
    <row r="149" spans="1:9" x14ac:dyDescent="0.2">
      <c r="A149" s="45"/>
      <c r="B149" s="46"/>
      <c r="C149" s="46"/>
      <c r="D149" s="46"/>
      <c r="E149" s="46"/>
      <c r="F149" s="46"/>
      <c r="G149" s="46"/>
      <c r="H149" s="46"/>
      <c r="I149" s="47"/>
    </row>
    <row r="150" spans="1:9" s="50" customFormat="1" ht="22.5" customHeight="1" x14ac:dyDescent="0.25">
      <c r="A150" s="303" t="s">
        <v>82</v>
      </c>
      <c r="B150" s="304"/>
      <c r="C150" s="304"/>
      <c r="D150" s="304"/>
      <c r="E150" s="305"/>
      <c r="F150" s="303" t="s">
        <v>21</v>
      </c>
      <c r="G150" s="305"/>
      <c r="H150" s="306" t="s">
        <v>4</v>
      </c>
      <c r="I150" s="306" t="s">
        <v>81</v>
      </c>
    </row>
    <row r="151" spans="1:9" ht="15.75" x14ac:dyDescent="0.25">
      <c r="A151" s="308" t="s">
        <v>7</v>
      </c>
      <c r="B151" s="309"/>
      <c r="C151" s="309"/>
      <c r="D151" s="309"/>
      <c r="E151" s="310"/>
      <c r="F151" s="22" t="s">
        <v>22</v>
      </c>
      <c r="G151" s="22" t="s">
        <v>23</v>
      </c>
      <c r="H151" s="307"/>
      <c r="I151" s="307"/>
    </row>
    <row r="152" spans="1:9" s="54" customFormat="1" x14ac:dyDescent="0.2">
      <c r="A152" s="51" t="s">
        <v>83</v>
      </c>
      <c r="B152" s="299" t="s">
        <v>84</v>
      </c>
      <c r="C152" s="299"/>
      <c r="D152" s="299"/>
      <c r="E152" s="299"/>
      <c r="F152" s="52">
        <v>0</v>
      </c>
      <c r="G152" s="52">
        <v>0</v>
      </c>
      <c r="H152" s="52">
        <v>0</v>
      </c>
      <c r="I152" s="62" t="s">
        <v>353</v>
      </c>
    </row>
    <row r="153" spans="1:9" hidden="1" x14ac:dyDescent="0.2">
      <c r="A153" s="55"/>
      <c r="B153" s="55" t="s">
        <v>85</v>
      </c>
      <c r="C153" s="298" t="s">
        <v>86</v>
      </c>
      <c r="D153" s="298"/>
      <c r="E153" s="298"/>
      <c r="F153" s="56"/>
      <c r="G153" s="56"/>
      <c r="H153" s="56"/>
      <c r="I153" s="76" t="e">
        <f t="shared" ref="I153:I187" si="3">H153/G153*100</f>
        <v>#DIV/0!</v>
      </c>
    </row>
    <row r="154" spans="1:9" hidden="1" x14ac:dyDescent="0.2">
      <c r="A154" s="55"/>
      <c r="B154" s="55" t="s">
        <v>99</v>
      </c>
      <c r="C154" s="298" t="s">
        <v>100</v>
      </c>
      <c r="D154" s="298"/>
      <c r="E154" s="298"/>
      <c r="F154" s="56"/>
      <c r="G154" s="56"/>
      <c r="H154" s="56"/>
      <c r="I154" s="76" t="e">
        <f t="shared" si="3"/>
        <v>#DIV/0!</v>
      </c>
    </row>
    <row r="155" spans="1:9" hidden="1" x14ac:dyDescent="0.2">
      <c r="A155" s="55"/>
      <c r="B155" s="55" t="s">
        <v>101</v>
      </c>
      <c r="C155" s="298" t="s">
        <v>102</v>
      </c>
      <c r="D155" s="298"/>
      <c r="E155" s="298"/>
      <c r="F155" s="56"/>
      <c r="G155" s="56"/>
      <c r="H155" s="56"/>
      <c r="I155" s="76" t="e">
        <f t="shared" si="3"/>
        <v>#DIV/0!</v>
      </c>
    </row>
    <row r="156" spans="1:9" hidden="1" x14ac:dyDescent="0.2">
      <c r="A156" s="55"/>
      <c r="B156" s="55" t="s">
        <v>103</v>
      </c>
      <c r="C156" s="298" t="s">
        <v>104</v>
      </c>
      <c r="D156" s="298"/>
      <c r="E156" s="298"/>
      <c r="F156" s="56"/>
      <c r="G156" s="56"/>
      <c r="H156" s="56"/>
      <c r="I156" s="76" t="e">
        <f t="shared" si="3"/>
        <v>#DIV/0!</v>
      </c>
    </row>
    <row r="157" spans="1:9" hidden="1" x14ac:dyDescent="0.2">
      <c r="A157" s="55"/>
      <c r="B157" s="55" t="s">
        <v>126</v>
      </c>
      <c r="C157" s="298" t="s">
        <v>127</v>
      </c>
      <c r="D157" s="298"/>
      <c r="E157" s="298"/>
      <c r="F157" s="56"/>
      <c r="G157" s="56"/>
      <c r="H157" s="56"/>
      <c r="I157" s="76" t="e">
        <f t="shared" si="3"/>
        <v>#DIV/0!</v>
      </c>
    </row>
    <row r="158" spans="1:9" hidden="1" x14ac:dyDescent="0.2">
      <c r="A158" s="55"/>
      <c r="B158" s="55" t="s">
        <v>128</v>
      </c>
      <c r="C158" s="298" t="s">
        <v>129</v>
      </c>
      <c r="D158" s="298"/>
      <c r="E158" s="298"/>
      <c r="F158" s="56"/>
      <c r="G158" s="56"/>
      <c r="H158" s="56"/>
      <c r="I158" s="76" t="e">
        <f t="shared" si="3"/>
        <v>#DIV/0!</v>
      </c>
    </row>
    <row r="159" spans="1:9" s="54" customFormat="1" x14ac:dyDescent="0.2">
      <c r="A159" s="51" t="s">
        <v>130</v>
      </c>
      <c r="B159" s="299" t="s">
        <v>131</v>
      </c>
      <c r="C159" s="299"/>
      <c r="D159" s="299"/>
      <c r="E159" s="299"/>
      <c r="F159" s="52">
        <v>0</v>
      </c>
      <c r="G159" s="52">
        <v>0</v>
      </c>
      <c r="H159" s="52">
        <v>0</v>
      </c>
      <c r="I159" s="62" t="s">
        <v>353</v>
      </c>
    </row>
    <row r="160" spans="1:9" hidden="1" x14ac:dyDescent="0.2">
      <c r="A160" s="55"/>
      <c r="B160" s="55" t="s">
        <v>132</v>
      </c>
      <c r="C160" s="298" t="s">
        <v>133</v>
      </c>
      <c r="D160" s="298"/>
      <c r="E160" s="298"/>
      <c r="F160" s="56"/>
      <c r="G160" s="56"/>
      <c r="H160" s="56"/>
      <c r="I160" s="62" t="s">
        <v>353</v>
      </c>
    </row>
    <row r="161" spans="1:9" hidden="1" x14ac:dyDescent="0.2">
      <c r="A161" s="55"/>
      <c r="B161" s="55" t="s">
        <v>134</v>
      </c>
      <c r="C161" s="298" t="s">
        <v>135</v>
      </c>
      <c r="D161" s="298"/>
      <c r="E161" s="298"/>
      <c r="F161" s="56"/>
      <c r="G161" s="56"/>
      <c r="H161" s="56"/>
      <c r="I161" s="62" t="s">
        <v>353</v>
      </c>
    </row>
    <row r="162" spans="1:9" hidden="1" x14ac:dyDescent="0.2">
      <c r="A162" s="55"/>
      <c r="B162" s="55" t="s">
        <v>136</v>
      </c>
      <c r="C162" s="298" t="s">
        <v>137</v>
      </c>
      <c r="D162" s="298"/>
      <c r="E162" s="298"/>
      <c r="F162" s="56"/>
      <c r="G162" s="56"/>
      <c r="H162" s="56"/>
      <c r="I162" s="62" t="s">
        <v>353</v>
      </c>
    </row>
    <row r="163" spans="1:9" hidden="1" x14ac:dyDescent="0.2">
      <c r="A163" s="55"/>
      <c r="B163" s="55" t="s">
        <v>138</v>
      </c>
      <c r="C163" s="298" t="s">
        <v>139</v>
      </c>
      <c r="D163" s="298"/>
      <c r="E163" s="298"/>
      <c r="F163" s="56"/>
      <c r="G163" s="56"/>
      <c r="H163" s="56"/>
      <c r="I163" s="62" t="s">
        <v>353</v>
      </c>
    </row>
    <row r="164" spans="1:9" hidden="1" x14ac:dyDescent="0.2">
      <c r="A164" s="55"/>
      <c r="B164" s="55" t="s">
        <v>140</v>
      </c>
      <c r="C164" s="298" t="s">
        <v>141</v>
      </c>
      <c r="D164" s="298"/>
      <c r="E164" s="298"/>
      <c r="F164" s="56"/>
      <c r="G164" s="56"/>
      <c r="H164" s="56"/>
      <c r="I164" s="62" t="s">
        <v>353</v>
      </c>
    </row>
    <row r="165" spans="1:9" s="54" customFormat="1" x14ac:dyDescent="0.2">
      <c r="A165" s="51" t="s">
        <v>142</v>
      </c>
      <c r="B165" s="299" t="s">
        <v>143</v>
      </c>
      <c r="C165" s="299"/>
      <c r="D165" s="299"/>
      <c r="E165" s="299"/>
      <c r="F165" s="52">
        <v>250000</v>
      </c>
      <c r="G165" s="52">
        <v>250000</v>
      </c>
      <c r="H165" s="52">
        <v>111000</v>
      </c>
      <c r="I165" s="62" t="s">
        <v>353</v>
      </c>
    </row>
    <row r="166" spans="1:9" hidden="1" x14ac:dyDescent="0.2">
      <c r="A166" s="55"/>
      <c r="B166" s="55" t="s">
        <v>144</v>
      </c>
      <c r="C166" s="298" t="s">
        <v>145</v>
      </c>
      <c r="D166" s="298"/>
      <c r="E166" s="298"/>
      <c r="F166" s="56"/>
      <c r="G166" s="56"/>
      <c r="H166" s="56"/>
      <c r="I166" s="76" t="e">
        <f t="shared" si="3"/>
        <v>#DIV/0!</v>
      </c>
    </row>
    <row r="167" spans="1:9" hidden="1" x14ac:dyDescent="0.2">
      <c r="A167" s="55"/>
      <c r="B167" s="55" t="s">
        <v>146</v>
      </c>
      <c r="C167" s="298" t="s">
        <v>147</v>
      </c>
      <c r="D167" s="298"/>
      <c r="E167" s="298"/>
      <c r="F167" s="56"/>
      <c r="G167" s="56"/>
      <c r="H167" s="56"/>
      <c r="I167" s="76" t="e">
        <f t="shared" si="3"/>
        <v>#DIV/0!</v>
      </c>
    </row>
    <row r="168" spans="1:9" hidden="1" x14ac:dyDescent="0.2">
      <c r="A168" s="55"/>
      <c r="B168" s="55" t="s">
        <v>148</v>
      </c>
      <c r="C168" s="298" t="s">
        <v>149</v>
      </c>
      <c r="D168" s="298"/>
      <c r="E168" s="298"/>
      <c r="F168" s="56"/>
      <c r="G168" s="56"/>
      <c r="H168" s="56"/>
      <c r="I168" s="76" t="e">
        <f t="shared" si="3"/>
        <v>#DIV/0!</v>
      </c>
    </row>
    <row r="169" spans="1:9" hidden="1" x14ac:dyDescent="0.2">
      <c r="A169" s="55"/>
      <c r="B169" s="55" t="s">
        <v>150</v>
      </c>
      <c r="C169" s="298" t="s">
        <v>151</v>
      </c>
      <c r="D169" s="298"/>
      <c r="E169" s="298"/>
      <c r="F169" s="56"/>
      <c r="G169" s="56"/>
      <c r="H169" s="56"/>
      <c r="I169" s="76" t="e">
        <f t="shared" si="3"/>
        <v>#DIV/0!</v>
      </c>
    </row>
    <row r="170" spans="1:9" hidden="1" x14ac:dyDescent="0.2">
      <c r="A170" s="55"/>
      <c r="B170" s="55" t="s">
        <v>154</v>
      </c>
      <c r="C170" s="298" t="s">
        <v>155</v>
      </c>
      <c r="D170" s="298"/>
      <c r="E170" s="298"/>
      <c r="F170" s="56"/>
      <c r="G170" s="56"/>
      <c r="H170" s="56"/>
      <c r="I170" s="76" t="e">
        <f t="shared" si="3"/>
        <v>#DIV/0!</v>
      </c>
    </row>
    <row r="171" spans="1:9" hidden="1" x14ac:dyDescent="0.2">
      <c r="A171" s="55"/>
      <c r="B171" s="55" t="s">
        <v>172</v>
      </c>
      <c r="C171" s="298" t="s">
        <v>60</v>
      </c>
      <c r="D171" s="298"/>
      <c r="E171" s="298"/>
      <c r="F171" s="56"/>
      <c r="G171" s="56"/>
      <c r="H171" s="56"/>
      <c r="I171" s="76" t="e">
        <f t="shared" si="3"/>
        <v>#DIV/0!</v>
      </c>
    </row>
    <row r="172" spans="1:9" s="54" customFormat="1" x14ac:dyDescent="0.2">
      <c r="A172" s="51" t="s">
        <v>182</v>
      </c>
      <c r="B172" s="299" t="s">
        <v>183</v>
      </c>
      <c r="C172" s="299"/>
      <c r="D172" s="299"/>
      <c r="E172" s="299"/>
      <c r="F172" s="52">
        <v>300000</v>
      </c>
      <c r="G172" s="52">
        <v>300000</v>
      </c>
      <c r="H172" s="52">
        <v>1120447</v>
      </c>
      <c r="I172" s="76">
        <f t="shared" si="3"/>
        <v>373.48233333333332</v>
      </c>
    </row>
    <row r="173" spans="1:9" s="54" customFormat="1" x14ac:dyDescent="0.2">
      <c r="A173" s="51" t="s">
        <v>199</v>
      </c>
      <c r="B173" s="299" t="s">
        <v>200</v>
      </c>
      <c r="C173" s="299"/>
      <c r="D173" s="299"/>
      <c r="E173" s="299"/>
      <c r="F173" s="52">
        <v>0</v>
      </c>
      <c r="G173" s="52">
        <v>0</v>
      </c>
      <c r="H173" s="52">
        <v>0</v>
      </c>
      <c r="I173" s="62" t="s">
        <v>353</v>
      </c>
    </row>
    <row r="174" spans="1:9" hidden="1" x14ac:dyDescent="0.2">
      <c r="A174" s="55"/>
      <c r="B174" s="55" t="s">
        <v>201</v>
      </c>
      <c r="C174" s="298" t="s">
        <v>202</v>
      </c>
      <c r="D174" s="298"/>
      <c r="E174" s="298"/>
      <c r="F174" s="56"/>
      <c r="G174" s="56"/>
      <c r="H174" s="56"/>
      <c r="I174" s="62" t="s">
        <v>353</v>
      </c>
    </row>
    <row r="175" spans="1:9" hidden="1" x14ac:dyDescent="0.2">
      <c r="A175" s="55"/>
      <c r="B175" s="55" t="s">
        <v>203</v>
      </c>
      <c r="C175" s="298" t="s">
        <v>204</v>
      </c>
      <c r="D175" s="298"/>
      <c r="E175" s="298"/>
      <c r="F175" s="56"/>
      <c r="G175" s="56"/>
      <c r="H175" s="56"/>
      <c r="I175" s="62" t="s">
        <v>353</v>
      </c>
    </row>
    <row r="176" spans="1:9" hidden="1" x14ac:dyDescent="0.2">
      <c r="A176" s="55"/>
      <c r="B176" s="55" t="s">
        <v>205</v>
      </c>
      <c r="C176" s="298" t="s">
        <v>206</v>
      </c>
      <c r="D176" s="298"/>
      <c r="E176" s="298"/>
      <c r="F176" s="56"/>
      <c r="G176" s="56"/>
      <c r="H176" s="56"/>
      <c r="I176" s="62" t="s">
        <v>353</v>
      </c>
    </row>
    <row r="177" spans="1:9" hidden="1" x14ac:dyDescent="0.2">
      <c r="A177" s="55"/>
      <c r="B177" s="55" t="s">
        <v>207</v>
      </c>
      <c r="C177" s="298" t="s">
        <v>208</v>
      </c>
      <c r="D177" s="298"/>
      <c r="E177" s="298"/>
      <c r="F177" s="56"/>
      <c r="G177" s="56"/>
      <c r="H177" s="56"/>
      <c r="I177" s="62" t="s">
        <v>353</v>
      </c>
    </row>
    <row r="178" spans="1:9" hidden="1" x14ac:dyDescent="0.2">
      <c r="A178" s="55"/>
      <c r="B178" s="55" t="s">
        <v>209</v>
      </c>
      <c r="C178" s="298" t="s">
        <v>210</v>
      </c>
      <c r="D178" s="298"/>
      <c r="E178" s="298"/>
      <c r="F178" s="56"/>
      <c r="G178" s="56"/>
      <c r="H178" s="56"/>
      <c r="I178" s="62" t="s">
        <v>353</v>
      </c>
    </row>
    <row r="179" spans="1:9" s="54" customFormat="1" x14ac:dyDescent="0.2">
      <c r="A179" s="51" t="s">
        <v>211</v>
      </c>
      <c r="B179" s="299" t="s">
        <v>212</v>
      </c>
      <c r="C179" s="299"/>
      <c r="D179" s="299"/>
      <c r="E179" s="299"/>
      <c r="F179" s="52">
        <v>0</v>
      </c>
      <c r="G179" s="52">
        <v>0</v>
      </c>
      <c r="H179" s="52">
        <v>0</v>
      </c>
      <c r="I179" s="62" t="s">
        <v>353</v>
      </c>
    </row>
    <row r="180" spans="1:9" hidden="1" x14ac:dyDescent="0.2">
      <c r="A180" s="55"/>
      <c r="B180" s="55" t="s">
        <v>213</v>
      </c>
      <c r="C180" s="298" t="s">
        <v>214</v>
      </c>
      <c r="D180" s="298"/>
      <c r="E180" s="298"/>
      <c r="F180" s="56"/>
      <c r="G180" s="56"/>
      <c r="H180" s="56"/>
      <c r="I180" s="62" t="s">
        <v>353</v>
      </c>
    </row>
    <row r="181" spans="1:9" hidden="1" x14ac:dyDescent="0.2">
      <c r="A181" s="55"/>
      <c r="B181" s="55" t="s">
        <v>215</v>
      </c>
      <c r="C181" s="298" t="s">
        <v>216</v>
      </c>
      <c r="D181" s="298"/>
      <c r="E181" s="298"/>
      <c r="F181" s="56"/>
      <c r="G181" s="56"/>
      <c r="H181" s="56"/>
      <c r="I181" s="62" t="s">
        <v>353</v>
      </c>
    </row>
    <row r="182" spans="1:9" hidden="1" x14ac:dyDescent="0.2">
      <c r="A182" s="55"/>
      <c r="B182" s="55" t="s">
        <v>227</v>
      </c>
      <c r="C182" s="298" t="s">
        <v>228</v>
      </c>
      <c r="D182" s="298"/>
      <c r="E182" s="298"/>
      <c r="F182" s="56"/>
      <c r="G182" s="56"/>
      <c r="H182" s="56"/>
      <c r="I182" s="62" t="s">
        <v>353</v>
      </c>
    </row>
    <row r="183" spans="1:9" s="54" customFormat="1" x14ac:dyDescent="0.2">
      <c r="A183" s="51" t="s">
        <v>229</v>
      </c>
      <c r="B183" s="299" t="s">
        <v>230</v>
      </c>
      <c r="C183" s="299"/>
      <c r="D183" s="299"/>
      <c r="E183" s="299"/>
      <c r="F183" s="52">
        <v>0</v>
      </c>
      <c r="G183" s="52">
        <v>0</v>
      </c>
      <c r="H183" s="52">
        <v>0</v>
      </c>
      <c r="I183" s="62" t="s">
        <v>353</v>
      </c>
    </row>
    <row r="184" spans="1:9" hidden="1" x14ac:dyDescent="0.2">
      <c r="A184" s="55"/>
      <c r="B184" s="55" t="s">
        <v>231</v>
      </c>
      <c r="C184" s="298" t="s">
        <v>232</v>
      </c>
      <c r="D184" s="298"/>
      <c r="E184" s="298"/>
      <c r="F184" s="56"/>
      <c r="G184" s="56"/>
      <c r="H184" s="56"/>
      <c r="I184" s="76" t="e">
        <f t="shared" si="3"/>
        <v>#DIV/0!</v>
      </c>
    </row>
    <row r="185" spans="1:9" hidden="1" x14ac:dyDescent="0.2">
      <c r="A185" s="61"/>
      <c r="B185" s="55" t="s">
        <v>233</v>
      </c>
      <c r="C185" s="298" t="s">
        <v>234</v>
      </c>
      <c r="D185" s="298"/>
      <c r="E185" s="298"/>
      <c r="F185" s="56"/>
      <c r="G185" s="56"/>
      <c r="H185" s="56"/>
      <c r="I185" s="76" t="e">
        <f t="shared" si="3"/>
        <v>#DIV/0!</v>
      </c>
    </row>
    <row r="186" spans="1:9" hidden="1" x14ac:dyDescent="0.2">
      <c r="A186" s="61"/>
      <c r="B186" s="55" t="s">
        <v>235</v>
      </c>
      <c r="C186" s="298" t="s">
        <v>236</v>
      </c>
      <c r="D186" s="298"/>
      <c r="E186" s="298"/>
      <c r="F186" s="56"/>
      <c r="G186" s="56"/>
      <c r="H186" s="56"/>
      <c r="I186" s="76" t="e">
        <f t="shared" si="3"/>
        <v>#DIV/0!</v>
      </c>
    </row>
    <row r="187" spans="1:9" s="54" customFormat="1" x14ac:dyDescent="0.2">
      <c r="A187" s="51" t="s">
        <v>237</v>
      </c>
      <c r="B187" s="299" t="s">
        <v>238</v>
      </c>
      <c r="C187" s="299"/>
      <c r="D187" s="299"/>
      <c r="E187" s="299"/>
      <c r="F187" s="52">
        <v>15000000</v>
      </c>
      <c r="G187" s="52">
        <v>19339139</v>
      </c>
      <c r="H187" s="52">
        <v>19339139</v>
      </c>
      <c r="I187" s="76">
        <f t="shared" si="3"/>
        <v>100</v>
      </c>
    </row>
    <row r="188" spans="1:9" hidden="1" x14ac:dyDescent="0.2">
      <c r="A188" s="61"/>
      <c r="B188" s="55" t="s">
        <v>239</v>
      </c>
      <c r="C188" s="298" t="s">
        <v>240</v>
      </c>
      <c r="D188" s="298"/>
      <c r="E188" s="298"/>
      <c r="F188" s="56">
        <v>0</v>
      </c>
      <c r="G188" s="56">
        <v>3984</v>
      </c>
      <c r="H188" s="56"/>
      <c r="I188" s="57"/>
    </row>
    <row r="189" spans="1:9" hidden="1" x14ac:dyDescent="0.2">
      <c r="A189" s="61"/>
      <c r="B189" s="55" t="s">
        <v>269</v>
      </c>
      <c r="C189" s="298" t="s">
        <v>270</v>
      </c>
      <c r="D189" s="298"/>
      <c r="E189" s="298"/>
      <c r="F189" s="56">
        <v>0</v>
      </c>
      <c r="G189" s="56">
        <v>0</v>
      </c>
      <c r="H189" s="56"/>
      <c r="I189" s="57"/>
    </row>
    <row r="190" spans="1:9" hidden="1" x14ac:dyDescent="0.2">
      <c r="A190" s="61"/>
      <c r="B190" s="55" t="s">
        <v>271</v>
      </c>
      <c r="C190" s="298" t="s">
        <v>272</v>
      </c>
      <c r="D190" s="298"/>
      <c r="E190" s="298"/>
      <c r="F190" s="56">
        <v>0</v>
      </c>
      <c r="G190" s="56">
        <v>0</v>
      </c>
      <c r="H190" s="56"/>
      <c r="I190" s="57"/>
    </row>
    <row r="191" spans="1:9" s="50" customFormat="1" ht="15.75" x14ac:dyDescent="0.25">
      <c r="A191" s="318" t="s">
        <v>275</v>
      </c>
      <c r="B191" s="318"/>
      <c r="C191" s="318"/>
      <c r="D191" s="318"/>
      <c r="E191" s="318"/>
      <c r="F191" s="74">
        <f>SUM(F187+F183+F179+F173+F172+F165+F159+F152)</f>
        <v>15550000</v>
      </c>
      <c r="G191" s="74">
        <f>SUM(G187+G183+G179+G173+G172+G165+G159+G152)</f>
        <v>19889139</v>
      </c>
      <c r="H191" s="74">
        <f>SUM(H187+H183+H179+H173+H172+H165+H159+H152)</f>
        <v>20570586</v>
      </c>
      <c r="I191" s="75">
        <f>H191/G191*100</f>
        <v>103.42622674616533</v>
      </c>
    </row>
    <row r="193" spans="1:9" x14ac:dyDescent="0.2">
      <c r="A193" s="45"/>
      <c r="B193" s="46"/>
      <c r="C193" s="46"/>
      <c r="D193" s="46"/>
      <c r="E193" s="46"/>
      <c r="F193" s="46"/>
      <c r="G193" s="46"/>
      <c r="H193" s="46"/>
      <c r="I193" s="47"/>
    </row>
    <row r="194" spans="1:9" s="50" customFormat="1" ht="22.5" customHeight="1" x14ac:dyDescent="0.25">
      <c r="A194" s="303" t="s">
        <v>82</v>
      </c>
      <c r="B194" s="304"/>
      <c r="C194" s="304"/>
      <c r="D194" s="304"/>
      <c r="E194" s="305"/>
      <c r="F194" s="303" t="s">
        <v>21</v>
      </c>
      <c r="G194" s="305"/>
      <c r="H194" s="306" t="s">
        <v>4</v>
      </c>
      <c r="I194" s="306" t="s">
        <v>81</v>
      </c>
    </row>
    <row r="195" spans="1:9" ht="33.75" customHeight="1" x14ac:dyDescent="0.25">
      <c r="A195" s="319" t="s">
        <v>368</v>
      </c>
      <c r="B195" s="320"/>
      <c r="C195" s="320"/>
      <c r="D195" s="320"/>
      <c r="E195" s="321"/>
      <c r="F195" s="22" t="s">
        <v>22</v>
      </c>
      <c r="G195" s="22" t="s">
        <v>23</v>
      </c>
      <c r="H195" s="307"/>
      <c r="I195" s="307"/>
    </row>
    <row r="196" spans="1:9" s="54" customFormat="1" x14ac:dyDescent="0.2">
      <c r="A196" s="51" t="s">
        <v>83</v>
      </c>
      <c r="B196" s="299" t="s">
        <v>84</v>
      </c>
      <c r="C196" s="299"/>
      <c r="D196" s="299"/>
      <c r="E196" s="299"/>
      <c r="F196" s="52">
        <v>0</v>
      </c>
      <c r="G196" s="52">
        <v>0</v>
      </c>
      <c r="H196" s="52">
        <v>0</v>
      </c>
      <c r="I196" s="62" t="s">
        <v>353</v>
      </c>
    </row>
    <row r="197" spans="1:9" hidden="1" x14ac:dyDescent="0.2">
      <c r="A197" s="55"/>
      <c r="B197" s="55" t="s">
        <v>85</v>
      </c>
      <c r="C197" s="298" t="s">
        <v>86</v>
      </c>
      <c r="D197" s="298"/>
      <c r="E197" s="298"/>
      <c r="F197" s="56"/>
      <c r="G197" s="56"/>
      <c r="H197" s="56"/>
      <c r="I197" s="62" t="s">
        <v>353</v>
      </c>
    </row>
    <row r="198" spans="1:9" hidden="1" x14ac:dyDescent="0.2">
      <c r="A198" s="55"/>
      <c r="B198" s="55" t="s">
        <v>99</v>
      </c>
      <c r="C198" s="298" t="s">
        <v>100</v>
      </c>
      <c r="D198" s="298"/>
      <c r="E198" s="298"/>
      <c r="F198" s="56"/>
      <c r="G198" s="56"/>
      <c r="H198" s="56"/>
      <c r="I198" s="62" t="s">
        <v>353</v>
      </c>
    </row>
    <row r="199" spans="1:9" hidden="1" x14ac:dyDescent="0.2">
      <c r="A199" s="55"/>
      <c r="B199" s="55" t="s">
        <v>101</v>
      </c>
      <c r="C199" s="298" t="s">
        <v>102</v>
      </c>
      <c r="D199" s="298"/>
      <c r="E199" s="298"/>
      <c r="F199" s="56"/>
      <c r="G199" s="56"/>
      <c r="H199" s="56"/>
      <c r="I199" s="62" t="s">
        <v>353</v>
      </c>
    </row>
    <row r="200" spans="1:9" hidden="1" x14ac:dyDescent="0.2">
      <c r="A200" s="55"/>
      <c r="B200" s="55" t="s">
        <v>103</v>
      </c>
      <c r="C200" s="298" t="s">
        <v>104</v>
      </c>
      <c r="D200" s="298"/>
      <c r="E200" s="298"/>
      <c r="F200" s="56"/>
      <c r="G200" s="56"/>
      <c r="H200" s="56"/>
      <c r="I200" s="62" t="s">
        <v>353</v>
      </c>
    </row>
    <row r="201" spans="1:9" hidden="1" x14ac:dyDescent="0.2">
      <c r="A201" s="55"/>
      <c r="B201" s="55" t="s">
        <v>126</v>
      </c>
      <c r="C201" s="298" t="s">
        <v>127</v>
      </c>
      <c r="D201" s="298"/>
      <c r="E201" s="298"/>
      <c r="F201" s="56"/>
      <c r="G201" s="56"/>
      <c r="H201" s="56"/>
      <c r="I201" s="62" t="s">
        <v>353</v>
      </c>
    </row>
    <row r="202" spans="1:9" hidden="1" x14ac:dyDescent="0.2">
      <c r="A202" s="55"/>
      <c r="B202" s="55" t="s">
        <v>128</v>
      </c>
      <c r="C202" s="298" t="s">
        <v>129</v>
      </c>
      <c r="D202" s="298"/>
      <c r="E202" s="298"/>
      <c r="F202" s="56"/>
      <c r="G202" s="56"/>
      <c r="H202" s="56"/>
      <c r="I202" s="62" t="s">
        <v>353</v>
      </c>
    </row>
    <row r="203" spans="1:9" s="54" customFormat="1" x14ac:dyDescent="0.2">
      <c r="A203" s="51" t="s">
        <v>130</v>
      </c>
      <c r="B203" s="299" t="s">
        <v>131</v>
      </c>
      <c r="C203" s="299"/>
      <c r="D203" s="299"/>
      <c r="E203" s="299"/>
      <c r="F203" s="52">
        <v>0</v>
      </c>
      <c r="G203" s="52">
        <v>0</v>
      </c>
      <c r="H203" s="52">
        <v>0</v>
      </c>
      <c r="I203" s="62" t="s">
        <v>353</v>
      </c>
    </row>
    <row r="204" spans="1:9" hidden="1" x14ac:dyDescent="0.2">
      <c r="A204" s="55"/>
      <c r="B204" s="55" t="s">
        <v>132</v>
      </c>
      <c r="C204" s="298" t="s">
        <v>133</v>
      </c>
      <c r="D204" s="298"/>
      <c r="E204" s="298"/>
      <c r="F204" s="56"/>
      <c r="G204" s="56"/>
      <c r="H204" s="56"/>
      <c r="I204" s="62" t="s">
        <v>353</v>
      </c>
    </row>
    <row r="205" spans="1:9" hidden="1" x14ac:dyDescent="0.2">
      <c r="A205" s="55"/>
      <c r="B205" s="55" t="s">
        <v>134</v>
      </c>
      <c r="C205" s="298" t="s">
        <v>135</v>
      </c>
      <c r="D205" s="298"/>
      <c r="E205" s="298"/>
      <c r="F205" s="56"/>
      <c r="G205" s="56"/>
      <c r="H205" s="56"/>
      <c r="I205" s="62" t="s">
        <v>353</v>
      </c>
    </row>
    <row r="206" spans="1:9" hidden="1" x14ac:dyDescent="0.2">
      <c r="A206" s="55"/>
      <c r="B206" s="55" t="s">
        <v>136</v>
      </c>
      <c r="C206" s="298" t="s">
        <v>137</v>
      </c>
      <c r="D206" s="298"/>
      <c r="E206" s="298"/>
      <c r="F206" s="56"/>
      <c r="G206" s="56"/>
      <c r="H206" s="56"/>
      <c r="I206" s="62" t="s">
        <v>353</v>
      </c>
    </row>
    <row r="207" spans="1:9" hidden="1" x14ac:dyDescent="0.2">
      <c r="A207" s="55"/>
      <c r="B207" s="55" t="s">
        <v>138</v>
      </c>
      <c r="C207" s="298" t="s">
        <v>139</v>
      </c>
      <c r="D207" s="298"/>
      <c r="E207" s="298"/>
      <c r="F207" s="56"/>
      <c r="G207" s="56"/>
      <c r="H207" s="56"/>
      <c r="I207" s="62" t="s">
        <v>353</v>
      </c>
    </row>
    <row r="208" spans="1:9" hidden="1" x14ac:dyDescent="0.2">
      <c r="A208" s="55"/>
      <c r="B208" s="55" t="s">
        <v>140</v>
      </c>
      <c r="C208" s="298" t="s">
        <v>141</v>
      </c>
      <c r="D208" s="298"/>
      <c r="E208" s="298"/>
      <c r="F208" s="56"/>
      <c r="G208" s="56"/>
      <c r="H208" s="56"/>
      <c r="I208" s="62" t="s">
        <v>353</v>
      </c>
    </row>
    <row r="209" spans="1:9" s="54" customFormat="1" x14ac:dyDescent="0.2">
      <c r="A209" s="51" t="s">
        <v>142</v>
      </c>
      <c r="B209" s="299" t="s">
        <v>143</v>
      </c>
      <c r="C209" s="299"/>
      <c r="D209" s="299"/>
      <c r="E209" s="299"/>
      <c r="F209" s="52">
        <v>0</v>
      </c>
      <c r="G209" s="52">
        <v>0</v>
      </c>
      <c r="H209" s="52">
        <v>0</v>
      </c>
      <c r="I209" s="62" t="s">
        <v>353</v>
      </c>
    </row>
    <row r="210" spans="1:9" hidden="1" x14ac:dyDescent="0.2">
      <c r="A210" s="55"/>
      <c r="B210" s="55" t="s">
        <v>144</v>
      </c>
      <c r="C210" s="298" t="s">
        <v>145</v>
      </c>
      <c r="D210" s="298"/>
      <c r="E210" s="298"/>
      <c r="F210" s="56"/>
      <c r="G210" s="56"/>
      <c r="H210" s="56"/>
      <c r="I210" s="57"/>
    </row>
    <row r="211" spans="1:9" hidden="1" x14ac:dyDescent="0.2">
      <c r="A211" s="55"/>
      <c r="B211" s="55" t="s">
        <v>146</v>
      </c>
      <c r="C211" s="298" t="s">
        <v>147</v>
      </c>
      <c r="D211" s="298"/>
      <c r="E211" s="298"/>
      <c r="F211" s="56"/>
      <c r="G211" s="56"/>
      <c r="H211" s="56"/>
      <c r="I211" s="57"/>
    </row>
    <row r="212" spans="1:9" hidden="1" x14ac:dyDescent="0.2">
      <c r="A212" s="55"/>
      <c r="B212" s="55" t="s">
        <v>148</v>
      </c>
      <c r="C212" s="298" t="s">
        <v>149</v>
      </c>
      <c r="D212" s="298"/>
      <c r="E212" s="298"/>
      <c r="F212" s="56"/>
      <c r="G212" s="56"/>
      <c r="H212" s="56"/>
      <c r="I212" s="57"/>
    </row>
    <row r="213" spans="1:9" hidden="1" x14ac:dyDescent="0.2">
      <c r="A213" s="55"/>
      <c r="B213" s="55" t="s">
        <v>150</v>
      </c>
      <c r="C213" s="298" t="s">
        <v>151</v>
      </c>
      <c r="D213" s="298"/>
      <c r="E213" s="298"/>
      <c r="F213" s="56"/>
      <c r="G213" s="56"/>
      <c r="H213" s="56"/>
      <c r="I213" s="57"/>
    </row>
    <row r="214" spans="1:9" hidden="1" x14ac:dyDescent="0.2">
      <c r="A214" s="55"/>
      <c r="B214" s="55" t="s">
        <v>154</v>
      </c>
      <c r="C214" s="298" t="s">
        <v>155</v>
      </c>
      <c r="D214" s="298"/>
      <c r="E214" s="298"/>
      <c r="F214" s="56"/>
      <c r="G214" s="56"/>
      <c r="H214" s="56"/>
      <c r="I214" s="57"/>
    </row>
    <row r="215" spans="1:9" hidden="1" x14ac:dyDescent="0.2">
      <c r="A215" s="55"/>
      <c r="B215" s="55" t="s">
        <v>172</v>
      </c>
      <c r="C215" s="298" t="s">
        <v>60</v>
      </c>
      <c r="D215" s="298"/>
      <c r="E215" s="298"/>
      <c r="F215" s="56"/>
      <c r="G215" s="56"/>
      <c r="H215" s="56"/>
      <c r="I215" s="57"/>
    </row>
    <row r="216" spans="1:9" s="54" customFormat="1" x14ac:dyDescent="0.2">
      <c r="A216" s="51" t="s">
        <v>182</v>
      </c>
      <c r="B216" s="299" t="s">
        <v>183</v>
      </c>
      <c r="C216" s="299"/>
      <c r="D216" s="299"/>
      <c r="E216" s="299"/>
      <c r="F216" s="52">
        <v>4612894</v>
      </c>
      <c r="G216" s="52">
        <v>6275162</v>
      </c>
      <c r="H216" s="52">
        <v>9524072</v>
      </c>
      <c r="I216" s="76">
        <f>H216/G216*100</f>
        <v>151.77412152865534</v>
      </c>
    </row>
    <row r="217" spans="1:9" s="54" customFormat="1" x14ac:dyDescent="0.2">
      <c r="A217" s="51" t="s">
        <v>199</v>
      </c>
      <c r="B217" s="299" t="s">
        <v>200</v>
      </c>
      <c r="C217" s="299"/>
      <c r="D217" s="299"/>
      <c r="E217" s="299"/>
      <c r="F217" s="52">
        <v>0</v>
      </c>
      <c r="G217" s="52">
        <v>0</v>
      </c>
      <c r="H217" s="52">
        <v>0</v>
      </c>
      <c r="I217" s="62" t="s">
        <v>353</v>
      </c>
    </row>
    <row r="218" spans="1:9" hidden="1" x14ac:dyDescent="0.2">
      <c r="A218" s="55"/>
      <c r="B218" s="55" t="s">
        <v>201</v>
      </c>
      <c r="C218" s="298" t="s">
        <v>202</v>
      </c>
      <c r="D218" s="298"/>
      <c r="E218" s="298"/>
      <c r="F218" s="56"/>
      <c r="G218" s="56"/>
      <c r="H218" s="56"/>
      <c r="I218" s="62" t="s">
        <v>353</v>
      </c>
    </row>
    <row r="219" spans="1:9" hidden="1" x14ac:dyDescent="0.2">
      <c r="A219" s="55"/>
      <c r="B219" s="55" t="s">
        <v>203</v>
      </c>
      <c r="C219" s="298" t="s">
        <v>204</v>
      </c>
      <c r="D219" s="298"/>
      <c r="E219" s="298"/>
      <c r="F219" s="56"/>
      <c r="G219" s="56"/>
      <c r="H219" s="56"/>
      <c r="I219" s="62" t="s">
        <v>353</v>
      </c>
    </row>
    <row r="220" spans="1:9" hidden="1" x14ac:dyDescent="0.2">
      <c r="A220" s="55"/>
      <c r="B220" s="55" t="s">
        <v>205</v>
      </c>
      <c r="C220" s="298" t="s">
        <v>206</v>
      </c>
      <c r="D220" s="298"/>
      <c r="E220" s="298"/>
      <c r="F220" s="56"/>
      <c r="G220" s="56"/>
      <c r="H220" s="56"/>
      <c r="I220" s="62" t="s">
        <v>353</v>
      </c>
    </row>
    <row r="221" spans="1:9" hidden="1" x14ac:dyDescent="0.2">
      <c r="A221" s="55"/>
      <c r="B221" s="55" t="s">
        <v>207</v>
      </c>
      <c r="C221" s="298" t="s">
        <v>208</v>
      </c>
      <c r="D221" s="298"/>
      <c r="E221" s="298"/>
      <c r="F221" s="56"/>
      <c r="G221" s="56"/>
      <c r="H221" s="56"/>
      <c r="I221" s="62" t="s">
        <v>353</v>
      </c>
    </row>
    <row r="222" spans="1:9" hidden="1" x14ac:dyDescent="0.2">
      <c r="A222" s="55"/>
      <c r="B222" s="55" t="s">
        <v>209</v>
      </c>
      <c r="C222" s="298" t="s">
        <v>210</v>
      </c>
      <c r="D222" s="298"/>
      <c r="E222" s="298"/>
      <c r="F222" s="56"/>
      <c r="G222" s="56"/>
      <c r="H222" s="56"/>
      <c r="I222" s="62" t="s">
        <v>353</v>
      </c>
    </row>
    <row r="223" spans="1:9" s="54" customFormat="1" x14ac:dyDescent="0.2">
      <c r="A223" s="51" t="s">
        <v>211</v>
      </c>
      <c r="B223" s="299" t="s">
        <v>212</v>
      </c>
      <c r="C223" s="299"/>
      <c r="D223" s="299"/>
      <c r="E223" s="299"/>
      <c r="F223" s="52">
        <v>0</v>
      </c>
      <c r="G223" s="52">
        <v>0</v>
      </c>
      <c r="H223" s="52">
        <v>0</v>
      </c>
      <c r="I223" s="62" t="s">
        <v>353</v>
      </c>
    </row>
    <row r="224" spans="1:9" hidden="1" x14ac:dyDescent="0.2">
      <c r="A224" s="55"/>
      <c r="B224" s="55" t="s">
        <v>213</v>
      </c>
      <c r="C224" s="298" t="s">
        <v>214</v>
      </c>
      <c r="D224" s="298"/>
      <c r="E224" s="298"/>
      <c r="F224" s="56"/>
      <c r="G224" s="56"/>
      <c r="H224" s="56"/>
      <c r="I224" s="62" t="s">
        <v>353</v>
      </c>
    </row>
    <row r="225" spans="1:9" hidden="1" x14ac:dyDescent="0.2">
      <c r="A225" s="55"/>
      <c r="B225" s="55" t="s">
        <v>215</v>
      </c>
      <c r="C225" s="298" t="s">
        <v>216</v>
      </c>
      <c r="D225" s="298"/>
      <c r="E225" s="298"/>
      <c r="F225" s="56"/>
      <c r="G225" s="56"/>
      <c r="H225" s="56"/>
      <c r="I225" s="62" t="s">
        <v>353</v>
      </c>
    </row>
    <row r="226" spans="1:9" hidden="1" x14ac:dyDescent="0.2">
      <c r="A226" s="55"/>
      <c r="B226" s="55" t="s">
        <v>227</v>
      </c>
      <c r="C226" s="298" t="s">
        <v>228</v>
      </c>
      <c r="D226" s="298"/>
      <c r="E226" s="298"/>
      <c r="F226" s="56"/>
      <c r="G226" s="56"/>
      <c r="H226" s="56"/>
      <c r="I226" s="62" t="s">
        <v>353</v>
      </c>
    </row>
    <row r="227" spans="1:9" s="54" customFormat="1" x14ac:dyDescent="0.2">
      <c r="A227" s="51" t="s">
        <v>229</v>
      </c>
      <c r="B227" s="299" t="s">
        <v>230</v>
      </c>
      <c r="C227" s="299"/>
      <c r="D227" s="299"/>
      <c r="E227" s="299"/>
      <c r="F227" s="52">
        <v>0</v>
      </c>
      <c r="G227" s="52">
        <v>0</v>
      </c>
      <c r="H227" s="52">
        <v>0</v>
      </c>
      <c r="I227" s="62" t="s">
        <v>353</v>
      </c>
    </row>
    <row r="228" spans="1:9" hidden="1" x14ac:dyDescent="0.2">
      <c r="A228" s="55"/>
      <c r="B228" s="55" t="s">
        <v>231</v>
      </c>
      <c r="C228" s="298" t="s">
        <v>232</v>
      </c>
      <c r="D228" s="298"/>
      <c r="E228" s="298"/>
      <c r="F228" s="56"/>
      <c r="G228" s="56"/>
      <c r="H228" s="56"/>
      <c r="I228" s="57"/>
    </row>
    <row r="229" spans="1:9" hidden="1" x14ac:dyDescent="0.2">
      <c r="A229" s="61"/>
      <c r="B229" s="55" t="s">
        <v>233</v>
      </c>
      <c r="C229" s="298" t="s">
        <v>234</v>
      </c>
      <c r="D229" s="298"/>
      <c r="E229" s="298"/>
      <c r="F229" s="56"/>
      <c r="G229" s="56"/>
      <c r="H229" s="56"/>
      <c r="I229" s="57"/>
    </row>
    <row r="230" spans="1:9" hidden="1" x14ac:dyDescent="0.2">
      <c r="A230" s="61"/>
      <c r="B230" s="55" t="s">
        <v>235</v>
      </c>
      <c r="C230" s="298" t="s">
        <v>236</v>
      </c>
      <c r="D230" s="298"/>
      <c r="E230" s="298"/>
      <c r="F230" s="56"/>
      <c r="G230" s="56"/>
      <c r="H230" s="56"/>
      <c r="I230" s="57"/>
    </row>
    <row r="231" spans="1:9" s="54" customFormat="1" x14ac:dyDescent="0.2">
      <c r="A231" s="51" t="s">
        <v>237</v>
      </c>
      <c r="B231" s="299" t="s">
        <v>238</v>
      </c>
      <c r="C231" s="299"/>
      <c r="D231" s="299"/>
      <c r="E231" s="299"/>
      <c r="F231" s="52">
        <v>15000000</v>
      </c>
      <c r="G231" s="52">
        <v>18170164</v>
      </c>
      <c r="H231" s="52">
        <v>18170164</v>
      </c>
      <c r="I231" s="76">
        <f>H231/G231*100</f>
        <v>100</v>
      </c>
    </row>
    <row r="232" spans="1:9" hidden="1" x14ac:dyDescent="0.2">
      <c r="A232" s="61"/>
      <c r="B232" s="55" t="s">
        <v>239</v>
      </c>
      <c r="C232" s="298" t="s">
        <v>240</v>
      </c>
      <c r="D232" s="298"/>
      <c r="E232" s="298"/>
      <c r="F232" s="56"/>
      <c r="G232" s="56"/>
      <c r="H232" s="56"/>
      <c r="I232" s="57" t="e">
        <f>H232/G232*100</f>
        <v>#DIV/0!</v>
      </c>
    </row>
    <row r="233" spans="1:9" hidden="1" x14ac:dyDescent="0.2">
      <c r="A233" s="61"/>
      <c r="B233" s="55" t="s">
        <v>269</v>
      </c>
      <c r="C233" s="298" t="s">
        <v>270</v>
      </c>
      <c r="D233" s="298"/>
      <c r="E233" s="298"/>
      <c r="F233" s="56"/>
      <c r="G233" s="56"/>
      <c r="H233" s="56"/>
      <c r="I233" s="57"/>
    </row>
    <row r="234" spans="1:9" hidden="1" x14ac:dyDescent="0.2">
      <c r="A234" s="61"/>
      <c r="B234" s="55" t="s">
        <v>271</v>
      </c>
      <c r="C234" s="298" t="s">
        <v>272</v>
      </c>
      <c r="D234" s="298"/>
      <c r="E234" s="298"/>
      <c r="F234" s="56"/>
      <c r="G234" s="56"/>
      <c r="H234" s="56"/>
      <c r="I234" s="57"/>
    </row>
    <row r="235" spans="1:9" s="79" customFormat="1" ht="33.75" customHeight="1" x14ac:dyDescent="0.2">
      <c r="A235" s="322" t="s">
        <v>370</v>
      </c>
      <c r="B235" s="322"/>
      <c r="C235" s="322"/>
      <c r="D235" s="322"/>
      <c r="E235" s="322"/>
      <c r="F235" s="77">
        <f>SUM(F231+F227+F223+F217+F216+F209+F203+F196)</f>
        <v>19612894</v>
      </c>
      <c r="G235" s="77">
        <f>SUM(G231+G227+G223+G217+G216+G209+G203+G196)</f>
        <v>24445326</v>
      </c>
      <c r="H235" s="77">
        <f>SUM(H231+H227+H223+H217+H216+H209+H203+H196)</f>
        <v>27694236</v>
      </c>
      <c r="I235" s="78">
        <f>H235/G235*100</f>
        <v>113.29051615020393</v>
      </c>
    </row>
    <row r="237" spans="1:9" x14ac:dyDescent="0.2">
      <c r="A237" s="45"/>
      <c r="B237" s="46"/>
      <c r="C237" s="46"/>
      <c r="D237" s="46"/>
      <c r="E237" s="46"/>
      <c r="F237" s="46"/>
      <c r="G237" s="46"/>
      <c r="H237" s="46"/>
      <c r="I237" s="47"/>
    </row>
    <row r="238" spans="1:9" s="50" customFormat="1" ht="22.5" customHeight="1" x14ac:dyDescent="0.25">
      <c r="A238" s="303" t="s">
        <v>82</v>
      </c>
      <c r="B238" s="304"/>
      <c r="C238" s="304"/>
      <c r="D238" s="304"/>
      <c r="E238" s="305"/>
      <c r="F238" s="303" t="s">
        <v>21</v>
      </c>
      <c r="G238" s="305"/>
      <c r="H238" s="306" t="s">
        <v>4</v>
      </c>
      <c r="I238" s="306" t="s">
        <v>81</v>
      </c>
    </row>
    <row r="239" spans="1:9" ht="23.25" customHeight="1" x14ac:dyDescent="0.2">
      <c r="A239" s="323" t="s">
        <v>367</v>
      </c>
      <c r="B239" s="324"/>
      <c r="C239" s="324"/>
      <c r="D239" s="324"/>
      <c r="E239" s="325"/>
      <c r="F239" s="22" t="s">
        <v>22</v>
      </c>
      <c r="G239" s="22" t="s">
        <v>23</v>
      </c>
      <c r="H239" s="307"/>
      <c r="I239" s="307"/>
    </row>
    <row r="240" spans="1:9" s="54" customFormat="1" x14ac:dyDescent="0.2">
      <c r="A240" s="51" t="s">
        <v>83</v>
      </c>
      <c r="B240" s="299" t="s">
        <v>84</v>
      </c>
      <c r="C240" s="299"/>
      <c r="D240" s="299"/>
      <c r="E240" s="299"/>
      <c r="F240" s="52">
        <v>0</v>
      </c>
      <c r="G240" s="52">
        <v>0</v>
      </c>
      <c r="H240" s="52">
        <v>0</v>
      </c>
      <c r="I240" s="62" t="s">
        <v>353</v>
      </c>
    </row>
    <row r="241" spans="1:9" hidden="1" x14ac:dyDescent="0.2">
      <c r="A241" s="55"/>
      <c r="B241" s="55" t="s">
        <v>85</v>
      </c>
      <c r="C241" s="298" t="s">
        <v>86</v>
      </c>
      <c r="D241" s="298"/>
      <c r="E241" s="298"/>
      <c r="F241" s="56"/>
      <c r="G241" s="56"/>
      <c r="H241" s="56"/>
      <c r="I241" s="62" t="s">
        <v>353</v>
      </c>
    </row>
    <row r="242" spans="1:9" hidden="1" x14ac:dyDescent="0.2">
      <c r="A242" s="55"/>
      <c r="B242" s="55" t="s">
        <v>99</v>
      </c>
      <c r="C242" s="298" t="s">
        <v>100</v>
      </c>
      <c r="D242" s="298"/>
      <c r="E242" s="298"/>
      <c r="F242" s="56"/>
      <c r="G242" s="56"/>
      <c r="H242" s="56"/>
      <c r="I242" s="62" t="s">
        <v>353</v>
      </c>
    </row>
    <row r="243" spans="1:9" hidden="1" x14ac:dyDescent="0.2">
      <c r="A243" s="55"/>
      <c r="B243" s="55" t="s">
        <v>101</v>
      </c>
      <c r="C243" s="298" t="s">
        <v>102</v>
      </c>
      <c r="D243" s="298"/>
      <c r="E243" s="298"/>
      <c r="F243" s="56"/>
      <c r="G243" s="56"/>
      <c r="H243" s="56"/>
      <c r="I243" s="62" t="s">
        <v>353</v>
      </c>
    </row>
    <row r="244" spans="1:9" hidden="1" x14ac:dyDescent="0.2">
      <c r="A244" s="55"/>
      <c r="B244" s="55" t="s">
        <v>103</v>
      </c>
      <c r="C244" s="298" t="s">
        <v>104</v>
      </c>
      <c r="D244" s="298"/>
      <c r="E244" s="298"/>
      <c r="F244" s="56"/>
      <c r="G244" s="56"/>
      <c r="H244" s="56"/>
      <c r="I244" s="62" t="s">
        <v>353</v>
      </c>
    </row>
    <row r="245" spans="1:9" hidden="1" x14ac:dyDescent="0.2">
      <c r="A245" s="55"/>
      <c r="B245" s="55" t="s">
        <v>126</v>
      </c>
      <c r="C245" s="298" t="s">
        <v>127</v>
      </c>
      <c r="D245" s="298"/>
      <c r="E245" s="298"/>
      <c r="F245" s="56"/>
      <c r="G245" s="56"/>
      <c r="H245" s="56"/>
      <c r="I245" s="62" t="s">
        <v>353</v>
      </c>
    </row>
    <row r="246" spans="1:9" hidden="1" x14ac:dyDescent="0.2">
      <c r="A246" s="55"/>
      <c r="B246" s="55" t="s">
        <v>128</v>
      </c>
      <c r="C246" s="298" t="s">
        <v>129</v>
      </c>
      <c r="D246" s="298"/>
      <c r="E246" s="298"/>
      <c r="F246" s="56"/>
      <c r="G246" s="56"/>
      <c r="H246" s="56"/>
      <c r="I246" s="62" t="s">
        <v>353</v>
      </c>
    </row>
    <row r="247" spans="1:9" s="54" customFormat="1" x14ac:dyDescent="0.2">
      <c r="A247" s="51" t="s">
        <v>130</v>
      </c>
      <c r="B247" s="299" t="s">
        <v>131</v>
      </c>
      <c r="C247" s="299"/>
      <c r="D247" s="299"/>
      <c r="E247" s="299"/>
      <c r="F247" s="52">
        <v>0</v>
      </c>
      <c r="G247" s="52">
        <v>0</v>
      </c>
      <c r="H247" s="52">
        <v>0</v>
      </c>
      <c r="I247" s="62" t="s">
        <v>353</v>
      </c>
    </row>
    <row r="248" spans="1:9" hidden="1" x14ac:dyDescent="0.2">
      <c r="A248" s="55"/>
      <c r="B248" s="55" t="s">
        <v>132</v>
      </c>
      <c r="C248" s="298" t="s">
        <v>133</v>
      </c>
      <c r="D248" s="298"/>
      <c r="E248" s="298"/>
      <c r="F248" s="56"/>
      <c r="G248" s="56"/>
      <c r="H248" s="56"/>
      <c r="I248" s="62" t="s">
        <v>353</v>
      </c>
    </row>
    <row r="249" spans="1:9" hidden="1" x14ac:dyDescent="0.2">
      <c r="A249" s="55"/>
      <c r="B249" s="55" t="s">
        <v>134</v>
      </c>
      <c r="C249" s="298" t="s">
        <v>135</v>
      </c>
      <c r="D249" s="298"/>
      <c r="E249" s="298"/>
      <c r="F249" s="56"/>
      <c r="G249" s="56"/>
      <c r="H249" s="56"/>
      <c r="I249" s="62" t="s">
        <v>353</v>
      </c>
    </row>
    <row r="250" spans="1:9" hidden="1" x14ac:dyDescent="0.2">
      <c r="A250" s="55"/>
      <c r="B250" s="55" t="s">
        <v>136</v>
      </c>
      <c r="C250" s="298" t="s">
        <v>137</v>
      </c>
      <c r="D250" s="298"/>
      <c r="E250" s="298"/>
      <c r="F250" s="56"/>
      <c r="G250" s="56"/>
      <c r="H250" s="56"/>
      <c r="I250" s="62" t="s">
        <v>353</v>
      </c>
    </row>
    <row r="251" spans="1:9" hidden="1" x14ac:dyDescent="0.2">
      <c r="A251" s="55"/>
      <c r="B251" s="55" t="s">
        <v>138</v>
      </c>
      <c r="C251" s="298" t="s">
        <v>139</v>
      </c>
      <c r="D251" s="298"/>
      <c r="E251" s="298"/>
      <c r="F251" s="56"/>
      <c r="G251" s="56"/>
      <c r="H251" s="56"/>
      <c r="I251" s="62" t="s">
        <v>353</v>
      </c>
    </row>
    <row r="252" spans="1:9" hidden="1" x14ac:dyDescent="0.2">
      <c r="A252" s="55"/>
      <c r="B252" s="55" t="s">
        <v>140</v>
      </c>
      <c r="C252" s="298" t="s">
        <v>141</v>
      </c>
      <c r="D252" s="298"/>
      <c r="E252" s="298"/>
      <c r="F252" s="56"/>
      <c r="G252" s="56"/>
      <c r="H252" s="56"/>
      <c r="I252" s="62" t="s">
        <v>353</v>
      </c>
    </row>
    <row r="253" spans="1:9" s="54" customFormat="1" x14ac:dyDescent="0.2">
      <c r="A253" s="51" t="s">
        <v>142</v>
      </c>
      <c r="B253" s="299" t="s">
        <v>143</v>
      </c>
      <c r="C253" s="299"/>
      <c r="D253" s="299"/>
      <c r="E253" s="299"/>
      <c r="F253" s="52">
        <v>0</v>
      </c>
      <c r="G253" s="52">
        <v>0</v>
      </c>
      <c r="H253" s="52">
        <v>0</v>
      </c>
      <c r="I253" s="62" t="s">
        <v>353</v>
      </c>
    </row>
    <row r="254" spans="1:9" hidden="1" x14ac:dyDescent="0.2">
      <c r="A254" s="55"/>
      <c r="B254" s="55" t="s">
        <v>144</v>
      </c>
      <c r="C254" s="298" t="s">
        <v>145</v>
      </c>
      <c r="D254" s="298"/>
      <c r="E254" s="298"/>
      <c r="F254" s="56"/>
      <c r="G254" s="56"/>
      <c r="H254" s="56"/>
      <c r="I254" s="57"/>
    </row>
    <row r="255" spans="1:9" hidden="1" x14ac:dyDescent="0.2">
      <c r="A255" s="55"/>
      <c r="B255" s="55" t="s">
        <v>146</v>
      </c>
      <c r="C255" s="298" t="s">
        <v>147</v>
      </c>
      <c r="D255" s="298"/>
      <c r="E255" s="298"/>
      <c r="F255" s="56"/>
      <c r="G255" s="56"/>
      <c r="H255" s="56"/>
      <c r="I255" s="57"/>
    </row>
    <row r="256" spans="1:9" hidden="1" x14ac:dyDescent="0.2">
      <c r="A256" s="55"/>
      <c r="B256" s="55" t="s">
        <v>148</v>
      </c>
      <c r="C256" s="298" t="s">
        <v>149</v>
      </c>
      <c r="D256" s="298"/>
      <c r="E256" s="298"/>
      <c r="F256" s="56"/>
      <c r="G256" s="56"/>
      <c r="H256" s="56"/>
      <c r="I256" s="57"/>
    </row>
    <row r="257" spans="1:9" hidden="1" x14ac:dyDescent="0.2">
      <c r="A257" s="55"/>
      <c r="B257" s="55" t="s">
        <v>150</v>
      </c>
      <c r="C257" s="298" t="s">
        <v>151</v>
      </c>
      <c r="D257" s="298"/>
      <c r="E257" s="298"/>
      <c r="F257" s="56"/>
      <c r="G257" s="56"/>
      <c r="H257" s="56"/>
      <c r="I257" s="57"/>
    </row>
    <row r="258" spans="1:9" hidden="1" x14ac:dyDescent="0.2">
      <c r="A258" s="55"/>
      <c r="B258" s="55" t="s">
        <v>154</v>
      </c>
      <c r="C258" s="298" t="s">
        <v>155</v>
      </c>
      <c r="D258" s="298"/>
      <c r="E258" s="298"/>
      <c r="F258" s="56"/>
      <c r="G258" s="56"/>
      <c r="H258" s="56"/>
      <c r="I258" s="57"/>
    </row>
    <row r="259" spans="1:9" hidden="1" x14ac:dyDescent="0.2">
      <c r="A259" s="55"/>
      <c r="B259" s="55" t="s">
        <v>172</v>
      </c>
      <c r="C259" s="298" t="s">
        <v>60</v>
      </c>
      <c r="D259" s="298"/>
      <c r="E259" s="298"/>
      <c r="F259" s="56"/>
      <c r="G259" s="56"/>
      <c r="H259" s="56"/>
      <c r="I259" s="57"/>
    </row>
    <row r="260" spans="1:9" s="54" customFormat="1" x14ac:dyDescent="0.2">
      <c r="A260" s="51" t="s">
        <v>182</v>
      </c>
      <c r="B260" s="299" t="s">
        <v>183</v>
      </c>
      <c r="C260" s="299"/>
      <c r="D260" s="299"/>
      <c r="E260" s="299"/>
      <c r="F260" s="199">
        <v>3143150</v>
      </c>
      <c r="G260" s="199">
        <v>3143150</v>
      </c>
      <c r="H260" s="199">
        <f>1090458+319900</f>
        <v>1410358</v>
      </c>
      <c r="I260" s="76">
        <f>H260/G260*100</f>
        <v>44.870846125701924</v>
      </c>
    </row>
    <row r="261" spans="1:9" s="54" customFormat="1" x14ac:dyDescent="0.2">
      <c r="A261" s="51" t="s">
        <v>199</v>
      </c>
      <c r="B261" s="299" t="s">
        <v>200</v>
      </c>
      <c r="C261" s="299"/>
      <c r="D261" s="299"/>
      <c r="E261" s="299"/>
      <c r="F261" s="52">
        <v>0</v>
      </c>
      <c r="G261" s="52">
        <v>0</v>
      </c>
      <c r="H261" s="52">
        <v>0</v>
      </c>
      <c r="I261" s="62" t="s">
        <v>353</v>
      </c>
    </row>
    <row r="262" spans="1:9" hidden="1" x14ac:dyDescent="0.2">
      <c r="A262" s="55"/>
      <c r="B262" s="55" t="s">
        <v>201</v>
      </c>
      <c r="C262" s="298" t="s">
        <v>202</v>
      </c>
      <c r="D262" s="298"/>
      <c r="E262" s="298"/>
      <c r="F262" s="56"/>
      <c r="G262" s="56"/>
      <c r="H262" s="56"/>
      <c r="I262" s="62" t="s">
        <v>353</v>
      </c>
    </row>
    <row r="263" spans="1:9" hidden="1" x14ac:dyDescent="0.2">
      <c r="A263" s="55"/>
      <c r="B263" s="55" t="s">
        <v>203</v>
      </c>
      <c r="C263" s="298" t="s">
        <v>204</v>
      </c>
      <c r="D263" s="298"/>
      <c r="E263" s="298"/>
      <c r="F263" s="56"/>
      <c r="G263" s="56"/>
      <c r="H263" s="56"/>
      <c r="I263" s="62" t="s">
        <v>353</v>
      </c>
    </row>
    <row r="264" spans="1:9" hidden="1" x14ac:dyDescent="0.2">
      <c r="A264" s="55"/>
      <c r="B264" s="55" t="s">
        <v>205</v>
      </c>
      <c r="C264" s="298" t="s">
        <v>206</v>
      </c>
      <c r="D264" s="298"/>
      <c r="E264" s="298"/>
      <c r="F264" s="56"/>
      <c r="G264" s="56"/>
      <c r="H264" s="56"/>
      <c r="I264" s="62" t="s">
        <v>353</v>
      </c>
    </row>
    <row r="265" spans="1:9" hidden="1" x14ac:dyDescent="0.2">
      <c r="A265" s="55"/>
      <c r="B265" s="55" t="s">
        <v>207</v>
      </c>
      <c r="C265" s="298" t="s">
        <v>208</v>
      </c>
      <c r="D265" s="298"/>
      <c r="E265" s="298"/>
      <c r="F265" s="56"/>
      <c r="G265" s="56"/>
      <c r="H265" s="56"/>
      <c r="I265" s="62" t="s">
        <v>353</v>
      </c>
    </row>
    <row r="266" spans="1:9" hidden="1" x14ac:dyDescent="0.2">
      <c r="A266" s="55"/>
      <c r="B266" s="55" t="s">
        <v>209</v>
      </c>
      <c r="C266" s="298" t="s">
        <v>210</v>
      </c>
      <c r="D266" s="298"/>
      <c r="E266" s="298"/>
      <c r="F266" s="56"/>
      <c r="G266" s="56"/>
      <c r="H266" s="56"/>
      <c r="I266" s="62" t="s">
        <v>353</v>
      </c>
    </row>
    <row r="267" spans="1:9" s="54" customFormat="1" x14ac:dyDescent="0.2">
      <c r="A267" s="51" t="s">
        <v>211</v>
      </c>
      <c r="B267" s="299" t="s">
        <v>212</v>
      </c>
      <c r="C267" s="299"/>
      <c r="D267" s="299"/>
      <c r="E267" s="299"/>
      <c r="F267" s="52">
        <v>0</v>
      </c>
      <c r="G267" s="52">
        <v>650000</v>
      </c>
      <c r="H267" s="52">
        <v>650000</v>
      </c>
      <c r="I267" s="76">
        <f>H267/G267*100</f>
        <v>100</v>
      </c>
    </row>
    <row r="268" spans="1:9" hidden="1" x14ac:dyDescent="0.2">
      <c r="A268" s="55"/>
      <c r="B268" s="55" t="s">
        <v>213</v>
      </c>
      <c r="C268" s="298" t="s">
        <v>214</v>
      </c>
      <c r="D268" s="298"/>
      <c r="E268" s="298"/>
      <c r="F268" s="56"/>
      <c r="G268" s="56"/>
      <c r="H268" s="56"/>
      <c r="I268" s="62" t="s">
        <v>353</v>
      </c>
    </row>
    <row r="269" spans="1:9" hidden="1" x14ac:dyDescent="0.2">
      <c r="A269" s="55"/>
      <c r="B269" s="55" t="s">
        <v>215</v>
      </c>
      <c r="C269" s="298" t="s">
        <v>216</v>
      </c>
      <c r="D269" s="298"/>
      <c r="E269" s="298"/>
      <c r="F269" s="56"/>
      <c r="G269" s="56"/>
      <c r="H269" s="56"/>
      <c r="I269" s="62" t="s">
        <v>353</v>
      </c>
    </row>
    <row r="270" spans="1:9" hidden="1" x14ac:dyDescent="0.2">
      <c r="A270" s="55"/>
      <c r="B270" s="55" t="s">
        <v>227</v>
      </c>
      <c r="C270" s="298" t="s">
        <v>228</v>
      </c>
      <c r="D270" s="298"/>
      <c r="E270" s="298"/>
      <c r="F270" s="56"/>
      <c r="G270" s="56"/>
      <c r="H270" s="56"/>
      <c r="I270" s="62" t="s">
        <v>353</v>
      </c>
    </row>
    <row r="271" spans="1:9" s="54" customFormat="1" x14ac:dyDescent="0.2">
      <c r="A271" s="51" t="s">
        <v>229</v>
      </c>
      <c r="B271" s="299" t="s">
        <v>230</v>
      </c>
      <c r="C271" s="299"/>
      <c r="D271" s="299"/>
      <c r="E271" s="299"/>
      <c r="F271" s="52">
        <v>0</v>
      </c>
      <c r="G271" s="52">
        <v>0</v>
      </c>
      <c r="H271" s="52">
        <v>0</v>
      </c>
      <c r="I271" s="62" t="s">
        <v>353</v>
      </c>
    </row>
    <row r="272" spans="1:9" hidden="1" x14ac:dyDescent="0.2">
      <c r="A272" s="55"/>
      <c r="B272" s="55" t="s">
        <v>231</v>
      </c>
      <c r="C272" s="298" t="s">
        <v>232</v>
      </c>
      <c r="D272" s="298"/>
      <c r="E272" s="298"/>
      <c r="F272" s="52"/>
      <c r="G272" s="52"/>
      <c r="H272" s="52"/>
      <c r="I272" s="57"/>
    </row>
    <row r="273" spans="1:9" hidden="1" x14ac:dyDescent="0.2">
      <c r="A273" s="61"/>
      <c r="B273" s="55" t="s">
        <v>233</v>
      </c>
      <c r="C273" s="298" t="s">
        <v>234</v>
      </c>
      <c r="D273" s="298"/>
      <c r="E273" s="298"/>
      <c r="F273" s="52"/>
      <c r="G273" s="52"/>
      <c r="H273" s="52"/>
      <c r="I273" s="57"/>
    </row>
    <row r="274" spans="1:9" hidden="1" x14ac:dyDescent="0.2">
      <c r="A274" s="61"/>
      <c r="B274" s="55" t="s">
        <v>235</v>
      </c>
      <c r="C274" s="298" t="s">
        <v>236</v>
      </c>
      <c r="D274" s="298"/>
      <c r="E274" s="298"/>
      <c r="F274" s="52"/>
      <c r="G274" s="52"/>
      <c r="H274" s="52"/>
      <c r="I274" s="57"/>
    </row>
    <row r="275" spans="1:9" s="54" customFormat="1" x14ac:dyDescent="0.2">
      <c r="A275" s="51" t="s">
        <v>237</v>
      </c>
      <c r="B275" s="299" t="s">
        <v>238</v>
      </c>
      <c r="C275" s="299"/>
      <c r="D275" s="299"/>
      <c r="E275" s="299"/>
      <c r="F275" s="52">
        <v>2500000</v>
      </c>
      <c r="G275" s="52">
        <v>2852588</v>
      </c>
      <c r="H275" s="52">
        <v>2852588</v>
      </c>
      <c r="I275" s="76">
        <f>H275/G275*100</f>
        <v>100</v>
      </c>
    </row>
    <row r="276" spans="1:9" hidden="1" x14ac:dyDescent="0.2">
      <c r="A276" s="61"/>
      <c r="B276" s="55" t="s">
        <v>239</v>
      </c>
      <c r="C276" s="298" t="s">
        <v>240</v>
      </c>
      <c r="D276" s="298"/>
      <c r="E276" s="298"/>
      <c r="F276" s="56"/>
      <c r="G276" s="56"/>
      <c r="H276" s="56"/>
      <c r="I276" s="57" t="e">
        <f>H276/G276*100</f>
        <v>#DIV/0!</v>
      </c>
    </row>
    <row r="277" spans="1:9" hidden="1" x14ac:dyDescent="0.2">
      <c r="A277" s="61"/>
      <c r="B277" s="55" t="s">
        <v>269</v>
      </c>
      <c r="C277" s="298" t="s">
        <v>270</v>
      </c>
      <c r="D277" s="298"/>
      <c r="E277" s="298"/>
      <c r="F277" s="56"/>
      <c r="G277" s="56"/>
      <c r="H277" s="56"/>
      <c r="I277" s="57"/>
    </row>
    <row r="278" spans="1:9" hidden="1" x14ac:dyDescent="0.2">
      <c r="A278" s="61"/>
      <c r="B278" s="55" t="s">
        <v>271</v>
      </c>
      <c r="C278" s="298" t="s">
        <v>272</v>
      </c>
      <c r="D278" s="298"/>
      <c r="E278" s="298"/>
      <c r="F278" s="56"/>
      <c r="G278" s="56"/>
      <c r="H278" s="56"/>
      <c r="I278" s="57"/>
    </row>
    <row r="279" spans="1:9" x14ac:dyDescent="0.2">
      <c r="A279" s="61"/>
      <c r="B279" s="326"/>
      <c r="C279" s="327"/>
      <c r="D279" s="327"/>
      <c r="E279" s="328"/>
      <c r="F279" s="80"/>
      <c r="G279" s="81"/>
      <c r="H279" s="81"/>
      <c r="I279" s="57"/>
    </row>
    <row r="280" spans="1:9" s="79" customFormat="1" ht="33.75" customHeight="1" x14ac:dyDescent="0.2">
      <c r="A280" s="322" t="s">
        <v>371</v>
      </c>
      <c r="B280" s="322"/>
      <c r="C280" s="322"/>
      <c r="D280" s="322"/>
      <c r="E280" s="322"/>
      <c r="F280" s="77">
        <f>SUM(F275+F271+F267+F261+F260+F253+F247+F240)</f>
        <v>5643150</v>
      </c>
      <c r="G280" s="77">
        <f>SUM(G275+G271+G267+G261+G260+G253+G247+G240)</f>
        <v>6645738</v>
      </c>
      <c r="H280" s="77">
        <f>SUM(H275+H271+H267+H261+H260+H253+H247+H240)</f>
        <v>4912946</v>
      </c>
      <c r="I280" s="78">
        <f>H280/G280*100</f>
        <v>73.926266729142796</v>
      </c>
    </row>
    <row r="281" spans="1:9" s="79" customFormat="1" ht="12.75" customHeight="1" x14ac:dyDescent="0.2">
      <c r="A281" s="203"/>
      <c r="B281" s="203"/>
      <c r="C281" s="203"/>
      <c r="D281" s="203"/>
      <c r="E281" s="203"/>
      <c r="F281" s="204"/>
      <c r="G281" s="204"/>
      <c r="H281" s="204"/>
      <c r="I281" s="205"/>
    </row>
    <row r="282" spans="1:9" s="79" customFormat="1" ht="12.75" customHeight="1" x14ac:dyDescent="0.2">
      <c r="A282" s="203"/>
      <c r="B282" s="203"/>
      <c r="C282" s="203"/>
      <c r="D282" s="203"/>
      <c r="E282" s="203"/>
      <c r="F282" s="204"/>
      <c r="G282" s="204"/>
      <c r="H282" s="204"/>
      <c r="I282" s="205"/>
    </row>
    <row r="283" spans="1:9" s="50" customFormat="1" ht="22.5" customHeight="1" x14ac:dyDescent="0.25">
      <c r="A283" s="303" t="s">
        <v>82</v>
      </c>
      <c r="B283" s="304"/>
      <c r="C283" s="304"/>
      <c r="D283" s="304"/>
      <c r="E283" s="305"/>
      <c r="F283" s="303" t="s">
        <v>21</v>
      </c>
      <c r="G283" s="305"/>
      <c r="H283" s="306" t="s">
        <v>4</v>
      </c>
      <c r="I283" s="306" t="s">
        <v>81</v>
      </c>
    </row>
    <row r="284" spans="1:9" ht="23.25" customHeight="1" x14ac:dyDescent="0.2">
      <c r="A284" s="323" t="s">
        <v>429</v>
      </c>
      <c r="B284" s="324"/>
      <c r="C284" s="324"/>
      <c r="D284" s="324"/>
      <c r="E284" s="325"/>
      <c r="F284" s="22" t="s">
        <v>22</v>
      </c>
      <c r="G284" s="22" t="s">
        <v>23</v>
      </c>
      <c r="H284" s="307"/>
      <c r="I284" s="307"/>
    </row>
    <row r="285" spans="1:9" s="79" customFormat="1" ht="14.25" customHeight="1" x14ac:dyDescent="0.2">
      <c r="A285" s="51" t="s">
        <v>83</v>
      </c>
      <c r="B285" s="299" t="s">
        <v>84</v>
      </c>
      <c r="C285" s="299"/>
      <c r="D285" s="299"/>
      <c r="E285" s="299"/>
      <c r="F285" s="52">
        <v>230217853</v>
      </c>
      <c r="G285" s="52">
        <v>230324113</v>
      </c>
      <c r="H285" s="52">
        <v>118458031</v>
      </c>
      <c r="I285" s="76">
        <f>H285/G285*100</f>
        <v>51.431015822472745</v>
      </c>
    </row>
    <row r="286" spans="1:9" s="79" customFormat="1" ht="14.25" customHeight="1" x14ac:dyDescent="0.2">
      <c r="A286" s="51" t="s">
        <v>130</v>
      </c>
      <c r="B286" s="299" t="s">
        <v>131</v>
      </c>
      <c r="C286" s="299"/>
      <c r="D286" s="299"/>
      <c r="E286" s="299"/>
      <c r="F286" s="52">
        <v>0</v>
      </c>
      <c r="G286" s="52">
        <v>0</v>
      </c>
      <c r="H286" s="52">
        <v>0</v>
      </c>
      <c r="I286" s="62" t="s">
        <v>353</v>
      </c>
    </row>
    <row r="287" spans="1:9" s="79" customFormat="1" ht="14.25" customHeight="1" x14ac:dyDescent="0.2">
      <c r="A287" s="51" t="s">
        <v>142</v>
      </c>
      <c r="B287" s="299" t="s">
        <v>143</v>
      </c>
      <c r="C287" s="299"/>
      <c r="D287" s="299"/>
      <c r="E287" s="299"/>
      <c r="F287" s="52">
        <v>0</v>
      </c>
      <c r="G287" s="52">
        <v>0</v>
      </c>
      <c r="H287" s="52">
        <v>0</v>
      </c>
      <c r="I287" s="62" t="s">
        <v>353</v>
      </c>
    </row>
    <row r="288" spans="1:9" s="79" customFormat="1" ht="14.25" customHeight="1" x14ac:dyDescent="0.2">
      <c r="A288" s="51" t="s">
        <v>182</v>
      </c>
      <c r="B288" s="299" t="s">
        <v>183</v>
      </c>
      <c r="C288" s="299"/>
      <c r="D288" s="299"/>
      <c r="E288" s="299"/>
      <c r="F288" s="52">
        <v>0</v>
      </c>
      <c r="G288" s="52">
        <v>0</v>
      </c>
      <c r="H288" s="52">
        <v>206839</v>
      </c>
      <c r="I288" s="62" t="s">
        <v>353</v>
      </c>
    </row>
    <row r="289" spans="1:9" s="79" customFormat="1" ht="14.25" customHeight="1" x14ac:dyDescent="0.2">
      <c r="A289" s="51" t="s">
        <v>199</v>
      </c>
      <c r="B289" s="299" t="s">
        <v>200</v>
      </c>
      <c r="C289" s="299"/>
      <c r="D289" s="299"/>
      <c r="E289" s="299"/>
      <c r="F289" s="52">
        <v>0</v>
      </c>
      <c r="G289" s="52">
        <v>0</v>
      </c>
      <c r="H289" s="52">
        <v>0</v>
      </c>
      <c r="I289" s="62" t="s">
        <v>353</v>
      </c>
    </row>
    <row r="290" spans="1:9" s="79" customFormat="1" ht="14.25" customHeight="1" x14ac:dyDescent="0.2">
      <c r="A290" s="51" t="s">
        <v>211</v>
      </c>
      <c r="B290" s="299" t="s">
        <v>212</v>
      </c>
      <c r="C290" s="299"/>
      <c r="D290" s="299"/>
      <c r="E290" s="299"/>
      <c r="F290" s="52">
        <v>27446674</v>
      </c>
      <c r="G290" s="52">
        <v>27446674</v>
      </c>
      <c r="H290" s="52">
        <v>0</v>
      </c>
      <c r="I290" s="62" t="s">
        <v>353</v>
      </c>
    </row>
    <row r="291" spans="1:9" s="79" customFormat="1" ht="14.25" customHeight="1" x14ac:dyDescent="0.2">
      <c r="A291" s="51" t="s">
        <v>229</v>
      </c>
      <c r="B291" s="299" t="s">
        <v>230</v>
      </c>
      <c r="C291" s="299"/>
      <c r="D291" s="299"/>
      <c r="E291" s="299"/>
      <c r="F291" s="52">
        <v>0</v>
      </c>
      <c r="G291" s="52">
        <v>0</v>
      </c>
      <c r="H291" s="52">
        <v>0</v>
      </c>
      <c r="I291" s="62" t="s">
        <v>353</v>
      </c>
    </row>
    <row r="292" spans="1:9" s="79" customFormat="1" ht="14.25" customHeight="1" x14ac:dyDescent="0.2">
      <c r="A292" s="51" t="s">
        <v>237</v>
      </c>
      <c r="B292" s="299" t="s">
        <v>238</v>
      </c>
      <c r="C292" s="299"/>
      <c r="D292" s="299"/>
      <c r="E292" s="299"/>
      <c r="F292" s="52">
        <v>0</v>
      </c>
      <c r="G292" s="52">
        <v>2601504</v>
      </c>
      <c r="H292" s="52">
        <v>2601504</v>
      </c>
      <c r="I292" s="76">
        <f>H292/G292*100</f>
        <v>100</v>
      </c>
    </row>
    <row r="293" spans="1:9" s="79" customFormat="1" ht="33.75" customHeight="1" x14ac:dyDescent="0.2">
      <c r="A293" s="322" t="s">
        <v>439</v>
      </c>
      <c r="B293" s="322"/>
      <c r="C293" s="322"/>
      <c r="D293" s="322"/>
      <c r="E293" s="322"/>
      <c r="F293" s="77">
        <f>SUM(F285:F292)</f>
        <v>257664527</v>
      </c>
      <c r="G293" s="77">
        <f t="shared" ref="G293:H293" si="4">SUM(G285:G292)</f>
        <v>260372291</v>
      </c>
      <c r="H293" s="77">
        <f t="shared" si="4"/>
        <v>121266374</v>
      </c>
      <c r="I293" s="78">
        <f>H293/G293*100</f>
        <v>46.574223982996713</v>
      </c>
    </row>
    <row r="295" spans="1:9" s="79" customFormat="1" ht="33.75" customHeight="1" x14ac:dyDescent="0.2">
      <c r="A295" s="323" t="s">
        <v>276</v>
      </c>
      <c r="B295" s="324"/>
      <c r="C295" s="324"/>
      <c r="D295" s="324"/>
      <c r="E295" s="325"/>
      <c r="F295" s="77">
        <f>SUM(F280+F235+F191+F293+F147)</f>
        <v>2770522493</v>
      </c>
      <c r="G295" s="77">
        <f t="shared" ref="G295:H295" si="5">SUM(G280+G235+G191+G293+G147)</f>
        <v>3041244070</v>
      </c>
      <c r="H295" s="77">
        <f t="shared" si="5"/>
        <v>1362559088</v>
      </c>
      <c r="I295" s="78">
        <f>H295/G295*100</f>
        <v>44.802687868455095</v>
      </c>
    </row>
  </sheetData>
  <mergeCells count="216">
    <mergeCell ref="H283:H284"/>
    <mergeCell ref="I283:I284"/>
    <mergeCell ref="A284:E284"/>
    <mergeCell ref="B285:E285"/>
    <mergeCell ref="B279:E279"/>
    <mergeCell ref="B271:E271"/>
    <mergeCell ref="C272:E272"/>
    <mergeCell ref="C273:E273"/>
    <mergeCell ref="A280:E280"/>
    <mergeCell ref="F283:G283"/>
    <mergeCell ref="A295:E295"/>
    <mergeCell ref="C274:E274"/>
    <mergeCell ref="B275:E275"/>
    <mergeCell ref="C276:E276"/>
    <mergeCell ref="C277:E277"/>
    <mergeCell ref="C278:E278"/>
    <mergeCell ref="A283:E283"/>
    <mergeCell ref="B292:E292"/>
    <mergeCell ref="B286:E286"/>
    <mergeCell ref="B287:E287"/>
    <mergeCell ref="B288:E288"/>
    <mergeCell ref="B289:E289"/>
    <mergeCell ref="B290:E290"/>
    <mergeCell ref="B291:E291"/>
    <mergeCell ref="A293:E293"/>
    <mergeCell ref="C265:E265"/>
    <mergeCell ref="C266:E266"/>
    <mergeCell ref="B267:E267"/>
    <mergeCell ref="C268:E268"/>
    <mergeCell ref="C269:E269"/>
    <mergeCell ref="C270:E270"/>
    <mergeCell ref="C259:E259"/>
    <mergeCell ref="B260:E260"/>
    <mergeCell ref="B261:E261"/>
    <mergeCell ref="C262:E262"/>
    <mergeCell ref="C263:E263"/>
    <mergeCell ref="C264:E264"/>
    <mergeCell ref="B253:E253"/>
    <mergeCell ref="C254:E254"/>
    <mergeCell ref="C255:E255"/>
    <mergeCell ref="C256:E256"/>
    <mergeCell ref="C257:E257"/>
    <mergeCell ref="C258:E258"/>
    <mergeCell ref="B247:E247"/>
    <mergeCell ref="C248:E248"/>
    <mergeCell ref="C249:E249"/>
    <mergeCell ref="C250:E250"/>
    <mergeCell ref="C251:E251"/>
    <mergeCell ref="C252:E252"/>
    <mergeCell ref="B240:E240"/>
    <mergeCell ref="C241:E241"/>
    <mergeCell ref="A238:E238"/>
    <mergeCell ref="C244:E244"/>
    <mergeCell ref="C245:E245"/>
    <mergeCell ref="C246:E246"/>
    <mergeCell ref="F238:G238"/>
    <mergeCell ref="H238:H239"/>
    <mergeCell ref="I238:I239"/>
    <mergeCell ref="A239:E239"/>
    <mergeCell ref="C242:E242"/>
    <mergeCell ref="C243:E243"/>
    <mergeCell ref="A235:E235"/>
    <mergeCell ref="B227:E227"/>
    <mergeCell ref="C228:E228"/>
    <mergeCell ref="C229:E229"/>
    <mergeCell ref="C220:E220"/>
    <mergeCell ref="C128:E128"/>
    <mergeCell ref="C170:E170"/>
    <mergeCell ref="C232:E232"/>
    <mergeCell ref="C225:E225"/>
    <mergeCell ref="C226:E226"/>
    <mergeCell ref="C215:E215"/>
    <mergeCell ref="B216:E216"/>
    <mergeCell ref="C176:E176"/>
    <mergeCell ref="C177:E177"/>
    <mergeCell ref="C224:E224"/>
    <mergeCell ref="C164:E164"/>
    <mergeCell ref="B152:E152"/>
    <mergeCell ref="C153:E153"/>
    <mergeCell ref="C154:E154"/>
    <mergeCell ref="C155:E155"/>
    <mergeCell ref="C156:E156"/>
    <mergeCell ref="C157:E157"/>
    <mergeCell ref="C161:E161"/>
    <mergeCell ref="C234:E234"/>
    <mergeCell ref="C233:E233"/>
    <mergeCell ref="B179:E179"/>
    <mergeCell ref="C180:E180"/>
    <mergeCell ref="B172:E172"/>
    <mergeCell ref="B173:E173"/>
    <mergeCell ref="C178:E178"/>
    <mergeCell ref="C221:E221"/>
    <mergeCell ref="C222:E222"/>
    <mergeCell ref="B203:E203"/>
    <mergeCell ref="C204:E204"/>
    <mergeCell ref="C205:E205"/>
    <mergeCell ref="C206:E206"/>
    <mergeCell ref="C213:E213"/>
    <mergeCell ref="C214:E214"/>
    <mergeCell ref="C230:E230"/>
    <mergeCell ref="B231:E231"/>
    <mergeCell ref="C202:E202"/>
    <mergeCell ref="B223:E223"/>
    <mergeCell ref="B217:E217"/>
    <mergeCell ref="B209:E209"/>
    <mergeCell ref="C210:E210"/>
    <mergeCell ref="C211:E211"/>
    <mergeCell ref="C212:E212"/>
    <mergeCell ref="B196:E196"/>
    <mergeCell ref="C218:E218"/>
    <mergeCell ref="C219:E219"/>
    <mergeCell ref="C207:E207"/>
    <mergeCell ref="C208:E208"/>
    <mergeCell ref="C197:E197"/>
    <mergeCell ref="C198:E198"/>
    <mergeCell ref="C199:E199"/>
    <mergeCell ref="C200:E200"/>
    <mergeCell ref="C201:E201"/>
    <mergeCell ref="A194:E194"/>
    <mergeCell ref="F194:G194"/>
    <mergeCell ref="H194:H195"/>
    <mergeCell ref="I194:I195"/>
    <mergeCell ref="A195:E195"/>
    <mergeCell ref="B187:E187"/>
    <mergeCell ref="C188:E188"/>
    <mergeCell ref="C189:E189"/>
    <mergeCell ref="C190:E190"/>
    <mergeCell ref="A191:E191"/>
    <mergeCell ref="C181:E181"/>
    <mergeCell ref="C182:E182"/>
    <mergeCell ref="B183:E183"/>
    <mergeCell ref="C184:E184"/>
    <mergeCell ref="A147:E147"/>
    <mergeCell ref="C186:E186"/>
    <mergeCell ref="C168:E168"/>
    <mergeCell ref="C169:E169"/>
    <mergeCell ref="C158:E158"/>
    <mergeCell ref="B159:E159"/>
    <mergeCell ref="C160:E160"/>
    <mergeCell ref="C171:E171"/>
    <mergeCell ref="C174:E174"/>
    <mergeCell ref="C175:E175"/>
    <mergeCell ref="C185:E185"/>
    <mergeCell ref="C162:E162"/>
    <mergeCell ref="C163:E163"/>
    <mergeCell ref="B165:E165"/>
    <mergeCell ref="C166:E166"/>
    <mergeCell ref="C167:E167"/>
    <mergeCell ref="F150:G150"/>
    <mergeCell ref="H150:H151"/>
    <mergeCell ref="I150:I151"/>
    <mergeCell ref="A151:E151"/>
    <mergeCell ref="C146:E146"/>
    <mergeCell ref="C144:E144"/>
    <mergeCell ref="C145:E145"/>
    <mergeCell ref="A150:E150"/>
    <mergeCell ref="D89:E89"/>
    <mergeCell ref="D93:E93"/>
    <mergeCell ref="C103:E103"/>
    <mergeCell ref="B105:E105"/>
    <mergeCell ref="D97:E97"/>
    <mergeCell ref="B99:E99"/>
    <mergeCell ref="C100:E100"/>
    <mergeCell ref="C101:E101"/>
    <mergeCell ref="C106:E106"/>
    <mergeCell ref="C107:E107"/>
    <mergeCell ref="D90:E90"/>
    <mergeCell ref="D91:E91"/>
    <mergeCell ref="D92:E92"/>
    <mergeCell ref="D95:E95"/>
    <mergeCell ref="D96:E96"/>
    <mergeCell ref="C102:E102"/>
    <mergeCell ref="D94:E94"/>
    <mergeCell ref="C126:E126"/>
    <mergeCell ref="C43:E43"/>
    <mergeCell ref="C44:E44"/>
    <mergeCell ref="C45:E45"/>
    <mergeCell ref="C46:E46"/>
    <mergeCell ref="C47:E47"/>
    <mergeCell ref="B58:E58"/>
    <mergeCell ref="C59:E59"/>
    <mergeCell ref="C60:E60"/>
    <mergeCell ref="C61:E61"/>
    <mergeCell ref="C62:E62"/>
    <mergeCell ref="C65:E65"/>
    <mergeCell ref="C77:E77"/>
    <mergeCell ref="D88:E88"/>
    <mergeCell ref="C104:E104"/>
    <mergeCell ref="B87:E87"/>
    <mergeCell ref="B127:E127"/>
    <mergeCell ref="D98:E98"/>
    <mergeCell ref="C118:E118"/>
    <mergeCell ref="C119:E119"/>
    <mergeCell ref="C124:E124"/>
    <mergeCell ref="C125:E125"/>
    <mergeCell ref="B121:E121"/>
    <mergeCell ref="C122:E122"/>
    <mergeCell ref="C123:E123"/>
    <mergeCell ref="C120:E120"/>
    <mergeCell ref="C30:E30"/>
    <mergeCell ref="C31:E31"/>
    <mergeCell ref="B42:E42"/>
    <mergeCell ref="F1:I1"/>
    <mergeCell ref="A2:I2"/>
    <mergeCell ref="A7:E7"/>
    <mergeCell ref="B9:E9"/>
    <mergeCell ref="C10:E10"/>
    <mergeCell ref="A4:I4"/>
    <mergeCell ref="A3:I3"/>
    <mergeCell ref="C19:E19"/>
    <mergeCell ref="F7:G7"/>
    <mergeCell ref="H7:H8"/>
    <mergeCell ref="I7:I8"/>
    <mergeCell ref="A8:E8"/>
    <mergeCell ref="C17:E17"/>
    <mergeCell ref="C18:E18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79" orientation="portrait" r:id="rId1"/>
  <rowBreaks count="1" manualBreakCount="1">
    <brk id="14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J83"/>
  <sheetViews>
    <sheetView topLeftCell="A19" zoomScaleNormal="100" workbookViewId="0">
      <selection activeCell="L30" sqref="L30"/>
    </sheetView>
  </sheetViews>
  <sheetFormatPr defaultColWidth="8.85546875" defaultRowHeight="12.75" x14ac:dyDescent="0.2"/>
  <cols>
    <col min="1" max="1" width="38.42578125" style="82" customWidth="1"/>
    <col min="2" max="3" width="16" style="82" bestFit="1" customWidth="1"/>
    <col min="4" max="4" width="15.85546875" style="82" bestFit="1" customWidth="1"/>
    <col min="5" max="5" width="11" style="82" customWidth="1"/>
    <col min="6" max="6" width="10.140625" style="82" bestFit="1" customWidth="1"/>
    <col min="7" max="7" width="8.85546875" style="82"/>
    <col min="8" max="8" width="12.28515625" style="82" bestFit="1" customWidth="1"/>
    <col min="9" max="16384" width="8.85546875" style="82"/>
  </cols>
  <sheetData>
    <row r="1" spans="1:5" x14ac:dyDescent="0.2">
      <c r="E1" s="83" t="s">
        <v>57</v>
      </c>
    </row>
    <row r="3" spans="1:5" ht="14.25" x14ac:dyDescent="0.2">
      <c r="A3" s="333" t="s">
        <v>0</v>
      </c>
      <c r="B3" s="333"/>
      <c r="C3" s="333"/>
      <c r="D3" s="333"/>
      <c r="E3" s="333"/>
    </row>
    <row r="4" spans="1:5" ht="14.25" x14ac:dyDescent="0.2">
      <c r="A4" s="333" t="s">
        <v>446</v>
      </c>
      <c r="B4" s="333"/>
      <c r="C4" s="333"/>
      <c r="D4" s="333"/>
      <c r="E4" s="333"/>
    </row>
    <row r="5" spans="1:5" ht="14.25" x14ac:dyDescent="0.2">
      <c r="A5" s="333" t="s">
        <v>10</v>
      </c>
      <c r="B5" s="333"/>
      <c r="C5" s="333"/>
      <c r="D5" s="333"/>
      <c r="E5" s="333"/>
    </row>
    <row r="6" spans="1:5" ht="14.25" x14ac:dyDescent="0.2">
      <c r="A6" s="84"/>
      <c r="B6" s="84"/>
      <c r="C6" s="84"/>
      <c r="D6" s="84"/>
      <c r="E6" s="84"/>
    </row>
    <row r="7" spans="1:5" x14ac:dyDescent="0.2">
      <c r="E7" s="83" t="s">
        <v>338</v>
      </c>
    </row>
    <row r="8" spans="1:5" s="87" customFormat="1" x14ac:dyDescent="0.2">
      <c r="A8" s="336" t="s">
        <v>1</v>
      </c>
      <c r="B8" s="85" t="s">
        <v>6</v>
      </c>
      <c r="C8" s="85" t="s">
        <v>3</v>
      </c>
      <c r="D8" s="336" t="s">
        <v>4</v>
      </c>
      <c r="E8" s="86" t="s">
        <v>4</v>
      </c>
    </row>
    <row r="9" spans="1:5" s="87" customFormat="1" ht="13.5" thickBot="1" x14ac:dyDescent="0.25">
      <c r="A9" s="337"/>
      <c r="B9" s="334" t="s">
        <v>8</v>
      </c>
      <c r="C9" s="335"/>
      <c r="D9" s="337"/>
      <c r="E9" s="88" t="s">
        <v>9</v>
      </c>
    </row>
    <row r="10" spans="1:5" s="92" customFormat="1" ht="25.5" customHeight="1" x14ac:dyDescent="0.2">
      <c r="A10" s="89" t="s">
        <v>54</v>
      </c>
      <c r="B10" s="90"/>
      <c r="C10" s="90"/>
      <c r="D10" s="90"/>
      <c r="E10" s="91"/>
    </row>
    <row r="11" spans="1:5" s="96" customFormat="1" x14ac:dyDescent="0.2">
      <c r="A11" s="93" t="s">
        <v>30</v>
      </c>
      <c r="B11" s="94">
        <f>SUM(B17+B15+B14+B13+B12)</f>
        <v>839034260</v>
      </c>
      <c r="C11" s="94">
        <f>SUM(C17+C15+C14+C13+C12)</f>
        <v>1080435507</v>
      </c>
      <c r="D11" s="94">
        <f>SUM(D17+D15+D14+D13+D12)</f>
        <v>462478271</v>
      </c>
      <c r="E11" s="95">
        <f>D11/C11*100</f>
        <v>42.804801212442939</v>
      </c>
    </row>
    <row r="12" spans="1:5" x14ac:dyDescent="0.2">
      <c r="A12" s="97" t="s">
        <v>65</v>
      </c>
      <c r="B12" s="200">
        <v>156326205</v>
      </c>
      <c r="C12" s="200">
        <v>295866754</v>
      </c>
      <c r="D12" s="200">
        <f>33244361+2774600+11909681+44662610+3008666+9057931+4684464+2267421+4900600+9395468</f>
        <v>125905802</v>
      </c>
      <c r="E12" s="219">
        <f t="shared" ref="E12:E24" si="0">(D12/C12)*100</f>
        <v>42.554900237287221</v>
      </c>
    </row>
    <row r="13" spans="1:5" x14ac:dyDescent="0.2">
      <c r="A13" s="100" t="s">
        <v>66</v>
      </c>
      <c r="B13" s="114">
        <v>18827186</v>
      </c>
      <c r="C13" s="114">
        <v>31141822</v>
      </c>
      <c r="D13" s="114">
        <f>4175768+360698+780298+2964894+365430+1175412+608979+276838+637078+1208335</f>
        <v>12553730</v>
      </c>
      <c r="E13" s="219">
        <f t="shared" si="0"/>
        <v>40.311482096326927</v>
      </c>
    </row>
    <row r="14" spans="1:5" x14ac:dyDescent="0.2">
      <c r="A14" s="100" t="s">
        <v>67</v>
      </c>
      <c r="B14" s="114">
        <v>420195789</v>
      </c>
      <c r="C14" s="114">
        <v>517759004</v>
      </c>
      <c r="D14" s="114">
        <f>18734219+14667331+996803+1037889+546687+6299583+2542700+1309196+10497404+14505087+7729190+29462528+92634+17883502+650958+120000+70739+64490+55801005+185400+259503+29452221+518121+1035000</f>
        <v>214462190</v>
      </c>
      <c r="E14" s="219">
        <f t="shared" si="0"/>
        <v>41.42123813263516</v>
      </c>
    </row>
    <row r="15" spans="1:5" x14ac:dyDescent="0.2">
      <c r="A15" s="100" t="s">
        <v>68</v>
      </c>
      <c r="B15" s="114">
        <v>11320000</v>
      </c>
      <c r="C15" s="114">
        <v>10838690</v>
      </c>
      <c r="D15" s="114">
        <v>3579535</v>
      </c>
      <c r="E15" s="219">
        <f t="shared" si="0"/>
        <v>33.025531683256929</v>
      </c>
    </row>
    <row r="16" spans="1:5" s="105" customFormat="1" x14ac:dyDescent="0.2">
      <c r="A16" s="102" t="s">
        <v>318</v>
      </c>
      <c r="B16" s="103">
        <v>11320000</v>
      </c>
      <c r="C16" s="103">
        <v>10838690</v>
      </c>
      <c r="D16" s="103">
        <v>3579535</v>
      </c>
      <c r="E16" s="220">
        <f t="shared" si="0"/>
        <v>33.025531683256929</v>
      </c>
    </row>
    <row r="17" spans="1:10" x14ac:dyDescent="0.2">
      <c r="A17" s="100" t="s">
        <v>72</v>
      </c>
      <c r="B17" s="114">
        <v>232365080</v>
      </c>
      <c r="C17" s="114">
        <v>224829237</v>
      </c>
      <c r="D17" s="114">
        <f>29265954+9777000+17318991+473102+2286791+1500000+6601840+12029832+4583334+9548000+11929000+663170</f>
        <v>105977014</v>
      </c>
      <c r="E17" s="219">
        <f t="shared" si="0"/>
        <v>47.136669329176257</v>
      </c>
    </row>
    <row r="18" spans="1:10" s="105" customFormat="1" x14ac:dyDescent="0.2">
      <c r="A18" s="106" t="s">
        <v>319</v>
      </c>
      <c r="B18" s="103">
        <v>42131039</v>
      </c>
      <c r="C18" s="104">
        <v>57546794</v>
      </c>
      <c r="D18" s="287" t="s">
        <v>353</v>
      </c>
      <c r="E18" s="221" t="s">
        <v>353</v>
      </c>
    </row>
    <row r="19" spans="1:10" s="96" customFormat="1" x14ac:dyDescent="0.2">
      <c r="A19" s="93" t="s">
        <v>31</v>
      </c>
      <c r="B19" s="94">
        <f>SUM(B20:B22)</f>
        <v>803406229</v>
      </c>
      <c r="C19" s="94">
        <f>SUM(C20:C22)</f>
        <v>812592030</v>
      </c>
      <c r="D19" s="94">
        <f>SUM(D20:D22)</f>
        <v>39082298</v>
      </c>
      <c r="E19" s="222">
        <f t="shared" si="0"/>
        <v>4.809584214110493</v>
      </c>
      <c r="H19" s="213">
        <v>526187638</v>
      </c>
    </row>
    <row r="20" spans="1:10" x14ac:dyDescent="0.2">
      <c r="A20" s="100" t="s">
        <v>69</v>
      </c>
      <c r="B20" s="101">
        <v>793318876</v>
      </c>
      <c r="C20" s="101">
        <f>794587367+1824653+492657</f>
        <v>796904677</v>
      </c>
      <c r="D20" s="101">
        <f>385708+273812+401389+331597+5685455+26301549+2903838</f>
        <v>36283348</v>
      </c>
      <c r="E20" s="219">
        <f t="shared" si="0"/>
        <v>4.553034892026365</v>
      </c>
      <c r="H20" s="214">
        <v>393804780</v>
      </c>
      <c r="I20" s="82" t="s">
        <v>447</v>
      </c>
    </row>
    <row r="21" spans="1:10" x14ac:dyDescent="0.2">
      <c r="A21" s="100" t="s">
        <v>73</v>
      </c>
      <c r="B21" s="101">
        <v>9337513</v>
      </c>
      <c r="C21" s="101">
        <f>17254823-1824653-492657</f>
        <v>14937513</v>
      </c>
      <c r="D21" s="101">
        <f>2507350</f>
        <v>2507350</v>
      </c>
      <c r="E21" s="219">
        <f t="shared" si="0"/>
        <v>16.785592086179271</v>
      </c>
      <c r="H21" s="215">
        <v>220000000</v>
      </c>
      <c r="I21" s="212" t="s">
        <v>448</v>
      </c>
      <c r="J21" s="212"/>
    </row>
    <row r="22" spans="1:10" x14ac:dyDescent="0.2">
      <c r="A22" s="100" t="s">
        <v>70</v>
      </c>
      <c r="B22" s="101">
        <v>749840</v>
      </c>
      <c r="C22" s="101">
        <v>749840</v>
      </c>
      <c r="D22" s="101">
        <f>291600</f>
        <v>291600</v>
      </c>
      <c r="E22" s="219">
        <f t="shared" si="0"/>
        <v>38.888296169849568</v>
      </c>
      <c r="H22" s="216">
        <f>SUM(H19:H21)</f>
        <v>1139992418</v>
      </c>
    </row>
    <row r="23" spans="1:10" s="96" customFormat="1" x14ac:dyDescent="0.2">
      <c r="A23" s="93" t="s">
        <v>71</v>
      </c>
      <c r="B23" s="94">
        <f>SUM(B24)</f>
        <v>30262867</v>
      </c>
      <c r="C23" s="94">
        <f>SUM(C24)</f>
        <v>30262867</v>
      </c>
      <c r="D23" s="94">
        <f>SUM(D24)</f>
        <v>30262867</v>
      </c>
      <c r="E23" s="95">
        <f t="shared" si="0"/>
        <v>100</v>
      </c>
    </row>
    <row r="24" spans="1:10" x14ac:dyDescent="0.2">
      <c r="A24" s="100" t="s">
        <v>74</v>
      </c>
      <c r="B24" s="101">
        <v>30262867</v>
      </c>
      <c r="C24" s="101">
        <v>30262867</v>
      </c>
      <c r="D24" s="101">
        <v>30262867</v>
      </c>
      <c r="E24" s="99">
        <f t="shared" si="0"/>
        <v>100</v>
      </c>
    </row>
    <row r="25" spans="1:10" s="92" customFormat="1" ht="15" thickBot="1" x14ac:dyDescent="0.25">
      <c r="A25" s="108" t="s">
        <v>407</v>
      </c>
      <c r="B25" s="109">
        <f>SUM(B11,B19,B23)</f>
        <v>1672703356</v>
      </c>
      <c r="C25" s="109">
        <f>SUM(C11,C19,C23)</f>
        <v>1923290404</v>
      </c>
      <c r="D25" s="109">
        <f>SUM(D11,D19,D23)</f>
        <v>531823436</v>
      </c>
      <c r="E25" s="110">
        <f>(D25/C25)*100</f>
        <v>27.651749049125918</v>
      </c>
    </row>
    <row r="26" spans="1:10" s="92" customFormat="1" ht="30.75" customHeight="1" x14ac:dyDescent="0.2">
      <c r="A26" s="89" t="s">
        <v>55</v>
      </c>
      <c r="B26" s="90"/>
      <c r="C26" s="90"/>
      <c r="D26" s="90"/>
      <c r="E26" s="91"/>
    </row>
    <row r="27" spans="1:10" s="96" customFormat="1" x14ac:dyDescent="0.2">
      <c r="A27" s="93" t="s">
        <v>30</v>
      </c>
      <c r="B27" s="94">
        <f>SUM(B32+B31+B30+B29+B28)</f>
        <v>214046992</v>
      </c>
      <c r="C27" s="94">
        <f>SUM(C32+C31+C30+C29+C28)</f>
        <v>215185221</v>
      </c>
      <c r="D27" s="94">
        <f>SUM(D32+D31+D30+D29+D28)</f>
        <v>101245146</v>
      </c>
      <c r="E27" s="95">
        <f>D27/C27*100</f>
        <v>47.050232134668768</v>
      </c>
    </row>
    <row r="28" spans="1:10" x14ac:dyDescent="0.2">
      <c r="A28" s="97" t="s">
        <v>65</v>
      </c>
      <c r="B28" s="200">
        <v>170467716</v>
      </c>
      <c r="C28" s="200">
        <v>160910123</v>
      </c>
      <c r="D28" s="200">
        <f>71912511+8238025</f>
        <v>80150536</v>
      </c>
      <c r="E28" s="111">
        <f>(D28/C28)*100</f>
        <v>49.810748078292129</v>
      </c>
    </row>
    <row r="29" spans="1:10" x14ac:dyDescent="0.2">
      <c r="A29" s="100" t="s">
        <v>66</v>
      </c>
      <c r="B29" s="114">
        <v>23601360</v>
      </c>
      <c r="C29" s="114">
        <v>22358873</v>
      </c>
      <c r="D29" s="114">
        <v>11689570</v>
      </c>
      <c r="E29" s="99">
        <f>(D29/C29)*100</f>
        <v>52.281570721386537</v>
      </c>
    </row>
    <row r="30" spans="1:10" x14ac:dyDescent="0.2">
      <c r="A30" s="100" t="s">
        <v>67</v>
      </c>
      <c r="B30" s="114">
        <v>19977916</v>
      </c>
      <c r="C30" s="114">
        <v>31916225</v>
      </c>
      <c r="D30" s="114">
        <v>9405040</v>
      </c>
      <c r="E30" s="99">
        <f>(D30/C30)*100</f>
        <v>29.46789603093724</v>
      </c>
    </row>
    <row r="31" spans="1:10" x14ac:dyDescent="0.2">
      <c r="A31" s="100" t="s">
        <v>68</v>
      </c>
      <c r="B31" s="114">
        <v>0</v>
      </c>
      <c r="C31" s="114">
        <v>0</v>
      </c>
      <c r="D31" s="114">
        <v>0</v>
      </c>
      <c r="E31" s="107" t="s">
        <v>353</v>
      </c>
    </row>
    <row r="32" spans="1:10" x14ac:dyDescent="0.2">
      <c r="A32" s="100" t="s">
        <v>72</v>
      </c>
      <c r="B32" s="114">
        <v>0</v>
      </c>
      <c r="C32" s="114">
        <v>0</v>
      </c>
      <c r="D32" s="114">
        <v>0</v>
      </c>
      <c r="E32" s="107" t="s">
        <v>353</v>
      </c>
    </row>
    <row r="33" spans="1:5" s="96" customFormat="1" x14ac:dyDescent="0.2">
      <c r="A33" s="93" t="s">
        <v>31</v>
      </c>
      <c r="B33" s="94">
        <f>SUM(B34:B36)</f>
        <v>4576200</v>
      </c>
      <c r="C33" s="94">
        <f>SUM(C34:C36)</f>
        <v>4576200</v>
      </c>
      <c r="D33" s="94">
        <f>SUM(D34:D36)</f>
        <v>53315</v>
      </c>
      <c r="E33" s="95">
        <f>D33/C33*100</f>
        <v>1.1650496044753289</v>
      </c>
    </row>
    <row r="34" spans="1:5" x14ac:dyDescent="0.2">
      <c r="A34" s="100" t="s">
        <v>69</v>
      </c>
      <c r="B34" s="101">
        <v>4576200</v>
      </c>
      <c r="C34" s="101">
        <v>4576200</v>
      </c>
      <c r="D34" s="101">
        <v>53315</v>
      </c>
      <c r="E34" s="99">
        <f>(D34/C34)*100</f>
        <v>1.1650496044753289</v>
      </c>
    </row>
    <row r="35" spans="1:5" x14ac:dyDescent="0.2">
      <c r="A35" s="100" t="s">
        <v>73</v>
      </c>
      <c r="B35" s="101">
        <v>0</v>
      </c>
      <c r="C35" s="101">
        <v>0</v>
      </c>
      <c r="D35" s="101">
        <v>0</v>
      </c>
      <c r="E35" s="107" t="s">
        <v>353</v>
      </c>
    </row>
    <row r="36" spans="1:5" x14ac:dyDescent="0.2">
      <c r="A36" s="100" t="s">
        <v>70</v>
      </c>
      <c r="B36" s="101">
        <v>0</v>
      </c>
      <c r="C36" s="101">
        <v>0</v>
      </c>
      <c r="D36" s="101">
        <v>0</v>
      </c>
      <c r="E36" s="107" t="s">
        <v>353</v>
      </c>
    </row>
    <row r="37" spans="1:5" s="96" customFormat="1" x14ac:dyDescent="0.2">
      <c r="A37" s="93" t="s">
        <v>71</v>
      </c>
      <c r="B37" s="94">
        <f>SUM(B38)</f>
        <v>0</v>
      </c>
      <c r="C37" s="94">
        <f>SUM(C38)</f>
        <v>0</v>
      </c>
      <c r="D37" s="94">
        <f>SUM(D38)</f>
        <v>0</v>
      </c>
      <c r="E37" s="107" t="s">
        <v>353</v>
      </c>
    </row>
    <row r="38" spans="1:5" x14ac:dyDescent="0.2">
      <c r="A38" s="100" t="s">
        <v>74</v>
      </c>
      <c r="B38" s="101">
        <v>0</v>
      </c>
      <c r="C38" s="101">
        <v>0</v>
      </c>
      <c r="D38" s="101">
        <v>0</v>
      </c>
      <c r="E38" s="107" t="s">
        <v>353</v>
      </c>
    </row>
    <row r="39" spans="1:5" s="92" customFormat="1" ht="15" thickBot="1" x14ac:dyDescent="0.25">
      <c r="A39" s="108" t="s">
        <v>407</v>
      </c>
      <c r="B39" s="109">
        <f>SUM(B27,B33,B37)</f>
        <v>218623192</v>
      </c>
      <c r="C39" s="109">
        <f>SUM(C27,C33,C37)</f>
        <v>219761421</v>
      </c>
      <c r="D39" s="109">
        <f>SUM(D27,D33,D37)</f>
        <v>101298461</v>
      </c>
      <c r="E39" s="110">
        <f>(D39/C39)*100</f>
        <v>46.09474244344279</v>
      </c>
    </row>
    <row r="40" spans="1:5" s="92" customFormat="1" ht="36.75" customHeight="1" x14ac:dyDescent="0.25">
      <c r="A40" s="331" t="s">
        <v>372</v>
      </c>
      <c r="B40" s="332"/>
      <c r="C40" s="332"/>
      <c r="D40" s="112"/>
      <c r="E40" s="113"/>
    </row>
    <row r="41" spans="1:5" s="96" customFormat="1" x14ac:dyDescent="0.2">
      <c r="A41" s="93" t="s">
        <v>30</v>
      </c>
      <c r="B41" s="94">
        <f>SUM(B46+B45+B44+B43+B42)</f>
        <v>552767894</v>
      </c>
      <c r="C41" s="94">
        <f>SUM(C46+C45+C44+C43+C42)</f>
        <v>556489356</v>
      </c>
      <c r="D41" s="94">
        <f>SUM(D46+D45+D44+D43+D42)</f>
        <v>279340222</v>
      </c>
      <c r="E41" s="95">
        <f>D41/C41*100</f>
        <v>50.196867017884159</v>
      </c>
    </row>
    <row r="42" spans="1:5" x14ac:dyDescent="0.2">
      <c r="A42" s="97" t="s">
        <v>65</v>
      </c>
      <c r="B42" s="200">
        <v>383105113</v>
      </c>
      <c r="C42" s="200">
        <v>382965924</v>
      </c>
      <c r="D42" s="200">
        <v>193559153</v>
      </c>
      <c r="E42" s="111">
        <f>(D42/C42)*100</f>
        <v>50.542134657390555</v>
      </c>
    </row>
    <row r="43" spans="1:5" x14ac:dyDescent="0.2">
      <c r="A43" s="100" t="s">
        <v>66</v>
      </c>
      <c r="B43" s="114">
        <v>42475365</v>
      </c>
      <c r="C43" s="114">
        <v>42475365</v>
      </c>
      <c r="D43" s="114">
        <v>24630923</v>
      </c>
      <c r="E43" s="99">
        <f>(D43/C43)*100</f>
        <v>57.988725935609978</v>
      </c>
    </row>
    <row r="44" spans="1:5" x14ac:dyDescent="0.2">
      <c r="A44" s="100" t="s">
        <v>67</v>
      </c>
      <c r="B44" s="114">
        <v>127187416</v>
      </c>
      <c r="C44" s="114">
        <v>131048067</v>
      </c>
      <c r="D44" s="114">
        <f>61126146+24000</f>
        <v>61150146</v>
      </c>
      <c r="E44" s="99">
        <f>(D44/C44)*100</f>
        <v>46.662379232194247</v>
      </c>
    </row>
    <row r="45" spans="1:5" x14ac:dyDescent="0.2">
      <c r="A45" s="100" t="s">
        <v>68</v>
      </c>
      <c r="B45" s="114">
        <v>0</v>
      </c>
      <c r="C45" s="114">
        <v>0</v>
      </c>
      <c r="D45" s="114">
        <v>0</v>
      </c>
      <c r="E45" s="107" t="s">
        <v>353</v>
      </c>
    </row>
    <row r="46" spans="1:5" x14ac:dyDescent="0.2">
      <c r="A46" s="100" t="s">
        <v>72</v>
      </c>
      <c r="B46" s="114">
        <v>0</v>
      </c>
      <c r="C46" s="114">
        <v>0</v>
      </c>
      <c r="D46" s="114">
        <v>0</v>
      </c>
      <c r="E46" s="107" t="s">
        <v>353</v>
      </c>
    </row>
    <row r="47" spans="1:5" s="96" customFormat="1" x14ac:dyDescent="0.2">
      <c r="A47" s="93" t="s">
        <v>31</v>
      </c>
      <c r="B47" s="94">
        <f>SUM(B48:B50)</f>
        <v>4293053</v>
      </c>
      <c r="C47" s="94">
        <f>SUM(C48:C50)</f>
        <v>16357539</v>
      </c>
      <c r="D47" s="94">
        <f>SUM(D48:D50)</f>
        <v>14266461</v>
      </c>
      <c r="E47" s="95">
        <f>(D47/C47)*100</f>
        <v>87.216426627501846</v>
      </c>
    </row>
    <row r="48" spans="1:5" x14ac:dyDescent="0.2">
      <c r="A48" s="100" t="s">
        <v>69</v>
      </c>
      <c r="B48" s="101">
        <v>4293053</v>
      </c>
      <c r="C48" s="101">
        <v>15406569</v>
      </c>
      <c r="D48" s="101">
        <f>13250719+726758</f>
        <v>13977477</v>
      </c>
      <c r="E48" s="99">
        <f>(D48/C48)*100</f>
        <v>90.724138515200877</v>
      </c>
    </row>
    <row r="49" spans="1:6" x14ac:dyDescent="0.2">
      <c r="A49" s="100" t="s">
        <v>73</v>
      </c>
      <c r="B49" s="101">
        <v>0</v>
      </c>
      <c r="C49" s="101">
        <v>950970</v>
      </c>
      <c r="D49" s="101">
        <v>288984</v>
      </c>
      <c r="E49" s="107" t="s">
        <v>353</v>
      </c>
    </row>
    <row r="50" spans="1:6" x14ac:dyDescent="0.2">
      <c r="A50" s="100" t="s">
        <v>70</v>
      </c>
      <c r="B50" s="101">
        <v>0</v>
      </c>
      <c r="C50" s="101">
        <v>0</v>
      </c>
      <c r="D50" s="101">
        <v>0</v>
      </c>
      <c r="E50" s="107" t="s">
        <v>353</v>
      </c>
    </row>
    <row r="51" spans="1:6" s="96" customFormat="1" x14ac:dyDescent="0.2">
      <c r="A51" s="93" t="s">
        <v>71</v>
      </c>
      <c r="B51" s="94">
        <f>SUM(B52)</f>
        <v>0</v>
      </c>
      <c r="C51" s="94">
        <f>SUM(C52)</f>
        <v>0</v>
      </c>
      <c r="D51" s="94">
        <f>SUM(D52)</f>
        <v>0</v>
      </c>
      <c r="E51" s="107" t="s">
        <v>353</v>
      </c>
    </row>
    <row r="52" spans="1:6" x14ac:dyDescent="0.2">
      <c r="A52" s="100" t="s">
        <v>74</v>
      </c>
      <c r="B52" s="101">
        <v>0</v>
      </c>
      <c r="C52" s="101">
        <v>0</v>
      </c>
      <c r="D52" s="101">
        <v>0</v>
      </c>
      <c r="E52" s="107" t="s">
        <v>353</v>
      </c>
    </row>
    <row r="53" spans="1:6" s="92" customFormat="1" ht="15" thickBot="1" x14ac:dyDescent="0.25">
      <c r="A53" s="108" t="s">
        <v>407</v>
      </c>
      <c r="B53" s="109">
        <f>SUM(B41,B47,B51)</f>
        <v>557060947</v>
      </c>
      <c r="C53" s="109">
        <f>SUM(C41,C47,C51)</f>
        <v>572846895</v>
      </c>
      <c r="D53" s="109">
        <f>SUM(D41,D47,D51)</f>
        <v>293606683</v>
      </c>
      <c r="E53" s="110">
        <f>(D53/C53)*100</f>
        <v>51.253953816054107</v>
      </c>
    </row>
    <row r="54" spans="1:6" s="92" customFormat="1" ht="36.75" customHeight="1" x14ac:dyDescent="0.25">
      <c r="A54" s="329" t="s">
        <v>373</v>
      </c>
      <c r="B54" s="330"/>
      <c r="C54" s="330"/>
      <c r="D54" s="112"/>
      <c r="E54" s="113"/>
    </row>
    <row r="55" spans="1:6" s="96" customFormat="1" x14ac:dyDescent="0.2">
      <c r="A55" s="93" t="s">
        <v>30</v>
      </c>
      <c r="B55" s="94">
        <f>SUM(B60+B59+B58+B57+B56)</f>
        <v>63037371</v>
      </c>
      <c r="C55" s="94">
        <f>SUM(C60+C59+C58+C57+C56)</f>
        <v>63234199</v>
      </c>
      <c r="D55" s="94">
        <f>SUM(D60+D59+D58+D57+D56)</f>
        <v>24398695</v>
      </c>
      <c r="E55" s="95">
        <f>D55/C55*100</f>
        <v>38.584651005067684</v>
      </c>
    </row>
    <row r="56" spans="1:6" x14ac:dyDescent="0.2">
      <c r="A56" s="97" t="s">
        <v>65</v>
      </c>
      <c r="B56" s="98">
        <v>26006980</v>
      </c>
      <c r="C56" s="98">
        <v>26006980</v>
      </c>
      <c r="D56" s="98">
        <v>12853004</v>
      </c>
      <c r="E56" s="111">
        <f>(D56/C56)*100</f>
        <v>49.421363034077778</v>
      </c>
      <c r="F56" s="82">
        <f>2705000+9368959+779045</f>
        <v>12853004</v>
      </c>
    </row>
    <row r="57" spans="1:6" x14ac:dyDescent="0.2">
      <c r="A57" s="100" t="s">
        <v>66</v>
      </c>
      <c r="B57" s="101">
        <v>4199291</v>
      </c>
      <c r="C57" s="101">
        <v>4199291</v>
      </c>
      <c r="D57" s="101">
        <v>1599427</v>
      </c>
      <c r="E57" s="99">
        <f>(D57/C57)*100</f>
        <v>38.088024859434604</v>
      </c>
      <c r="F57" s="82">
        <f>351650+1219363+28414</f>
        <v>1599427</v>
      </c>
    </row>
    <row r="58" spans="1:6" x14ac:dyDescent="0.2">
      <c r="A58" s="100" t="s">
        <v>67</v>
      </c>
      <c r="B58" s="101">
        <v>32831100</v>
      </c>
      <c r="C58" s="101">
        <v>33027928</v>
      </c>
      <c r="D58" s="101">
        <v>9946264</v>
      </c>
      <c r="E58" s="99">
        <f>(D58/C58)*100</f>
        <v>30.114707770950695</v>
      </c>
      <c r="F58" s="82">
        <f>70861+7728310+2147093</f>
        <v>9946264</v>
      </c>
    </row>
    <row r="59" spans="1:6" x14ac:dyDescent="0.2">
      <c r="A59" s="100" t="s">
        <v>68</v>
      </c>
      <c r="B59" s="101">
        <v>0</v>
      </c>
      <c r="C59" s="101">
        <v>0</v>
      </c>
      <c r="D59" s="101">
        <v>0</v>
      </c>
      <c r="E59" s="107" t="s">
        <v>353</v>
      </c>
    </row>
    <row r="60" spans="1:6" x14ac:dyDescent="0.2">
      <c r="A60" s="100" t="s">
        <v>72</v>
      </c>
      <c r="B60" s="101">
        <v>0</v>
      </c>
      <c r="C60" s="101">
        <v>0</v>
      </c>
      <c r="D60" s="101">
        <v>0</v>
      </c>
      <c r="E60" s="107" t="s">
        <v>353</v>
      </c>
    </row>
    <row r="61" spans="1:6" s="96" customFormat="1" x14ac:dyDescent="0.2">
      <c r="A61" s="93" t="s">
        <v>31</v>
      </c>
      <c r="B61" s="94">
        <f>SUM(B62:B64)</f>
        <v>1433100</v>
      </c>
      <c r="C61" s="94">
        <f>SUM(C62:C64)</f>
        <v>1738860</v>
      </c>
      <c r="D61" s="94">
        <f>SUM(D62:D64)</f>
        <v>925038</v>
      </c>
      <c r="E61" s="95">
        <f>(D61/C61)*100</f>
        <v>53.197957282357407</v>
      </c>
    </row>
    <row r="62" spans="1:6" x14ac:dyDescent="0.2">
      <c r="A62" s="100" t="s">
        <v>69</v>
      </c>
      <c r="B62" s="101">
        <v>1433100</v>
      </c>
      <c r="C62" s="101">
        <v>1707110</v>
      </c>
      <c r="D62" s="101">
        <v>893288</v>
      </c>
      <c r="E62" s="99">
        <f>(D62/C62)*100</f>
        <v>52.327500864033368</v>
      </c>
      <c r="F62" s="82">
        <f>621429+271859</f>
        <v>893288</v>
      </c>
    </row>
    <row r="63" spans="1:6" x14ac:dyDescent="0.2">
      <c r="A63" s="100" t="s">
        <v>73</v>
      </c>
      <c r="B63" s="101">
        <v>0</v>
      </c>
      <c r="C63" s="101">
        <v>31750</v>
      </c>
      <c r="D63" s="101">
        <v>31750</v>
      </c>
      <c r="E63" s="99">
        <f>(D63/C63)*100</f>
        <v>100</v>
      </c>
      <c r="F63" s="82">
        <f>31750</f>
        <v>31750</v>
      </c>
    </row>
    <row r="64" spans="1:6" x14ac:dyDescent="0.2">
      <c r="A64" s="100" t="s">
        <v>70</v>
      </c>
      <c r="B64" s="101">
        <v>0</v>
      </c>
      <c r="C64" s="101">
        <v>0</v>
      </c>
      <c r="D64" s="101">
        <v>0</v>
      </c>
      <c r="E64" s="107" t="s">
        <v>353</v>
      </c>
    </row>
    <row r="65" spans="1:5" s="96" customFormat="1" x14ac:dyDescent="0.2">
      <c r="A65" s="93" t="s">
        <v>71</v>
      </c>
      <c r="B65" s="94">
        <f>SUM(B66)</f>
        <v>0</v>
      </c>
      <c r="C65" s="94">
        <f>SUM(C66)</f>
        <v>0</v>
      </c>
      <c r="D65" s="94">
        <f>SUM(D66)</f>
        <v>0</v>
      </c>
      <c r="E65" s="107" t="s">
        <v>353</v>
      </c>
    </row>
    <row r="66" spans="1:5" x14ac:dyDescent="0.2">
      <c r="A66" s="100" t="s">
        <v>74</v>
      </c>
      <c r="B66" s="101">
        <v>0</v>
      </c>
      <c r="C66" s="101">
        <v>0</v>
      </c>
      <c r="D66" s="101">
        <v>0</v>
      </c>
      <c r="E66" s="107" t="s">
        <v>353</v>
      </c>
    </row>
    <row r="67" spans="1:5" s="92" customFormat="1" ht="15" thickBot="1" x14ac:dyDescent="0.25">
      <c r="A67" s="108" t="s">
        <v>407</v>
      </c>
      <c r="B67" s="109">
        <f>SUM(B55,B61,B65)</f>
        <v>64470471</v>
      </c>
      <c r="C67" s="109">
        <f>SUM(C55,C61,C65)</f>
        <v>64973059</v>
      </c>
      <c r="D67" s="109">
        <f>SUM(D55,D61,D65)</f>
        <v>25323733</v>
      </c>
      <c r="E67" s="110">
        <f>(D67/C67)*100</f>
        <v>38.975743777124606</v>
      </c>
    </row>
    <row r="68" spans="1:5" s="92" customFormat="1" ht="36.75" customHeight="1" x14ac:dyDescent="0.25">
      <c r="A68" s="329" t="s">
        <v>438</v>
      </c>
      <c r="B68" s="330"/>
      <c r="C68" s="330"/>
      <c r="D68" s="112"/>
      <c r="E68" s="113"/>
    </row>
    <row r="69" spans="1:5" s="96" customFormat="1" x14ac:dyDescent="0.2">
      <c r="A69" s="93" t="s">
        <v>30</v>
      </c>
      <c r="B69" s="94">
        <f>SUM(B74+B73+B72+B71+B70)</f>
        <v>257664527</v>
      </c>
      <c r="C69" s="94">
        <f>SUM(C74+C73+C72+C71+C70)</f>
        <v>260267511</v>
      </c>
      <c r="D69" s="94">
        <f>SUM(D74+D73+D72+D71+D70)</f>
        <v>125901138</v>
      </c>
      <c r="E69" s="95">
        <f>D69/C69*100</f>
        <v>48.373743428929167</v>
      </c>
    </row>
    <row r="70" spans="1:5" x14ac:dyDescent="0.2">
      <c r="A70" s="97" t="s">
        <v>65</v>
      </c>
      <c r="B70" s="101">
        <v>196529283</v>
      </c>
      <c r="C70" s="98">
        <v>196029283</v>
      </c>
      <c r="D70" s="114">
        <f>92472774+3978120+147959</f>
        <v>96598853</v>
      </c>
      <c r="E70" s="111">
        <f>(D70/C70)*100</f>
        <v>49.277766832417583</v>
      </c>
    </row>
    <row r="71" spans="1:5" x14ac:dyDescent="0.2">
      <c r="A71" s="100" t="s">
        <v>66</v>
      </c>
      <c r="B71" s="101">
        <v>18677142</v>
      </c>
      <c r="C71" s="101">
        <v>18677142</v>
      </c>
      <c r="D71" s="114">
        <f>7615841+1505883</f>
        <v>9121724</v>
      </c>
      <c r="E71" s="99">
        <f>(D71/C71)*100</f>
        <v>48.83897118734761</v>
      </c>
    </row>
    <row r="72" spans="1:5" x14ac:dyDescent="0.2">
      <c r="A72" s="100" t="s">
        <v>67</v>
      </c>
      <c r="B72" s="101">
        <v>42458102</v>
      </c>
      <c r="C72" s="101">
        <v>45561086</v>
      </c>
      <c r="D72" s="114">
        <v>20180561</v>
      </c>
      <c r="E72" s="99">
        <f>(D72/C72)*100</f>
        <v>44.293415218416875</v>
      </c>
    </row>
    <row r="73" spans="1:5" x14ac:dyDescent="0.2">
      <c r="A73" s="100" t="s">
        <v>68</v>
      </c>
      <c r="B73" s="101">
        <v>0</v>
      </c>
      <c r="C73" s="101">
        <v>0</v>
      </c>
      <c r="D73" s="94">
        <v>0</v>
      </c>
      <c r="E73" s="107" t="s">
        <v>353</v>
      </c>
    </row>
    <row r="74" spans="1:5" x14ac:dyDescent="0.2">
      <c r="A74" s="100" t="s">
        <v>72</v>
      </c>
      <c r="B74" s="101">
        <v>0</v>
      </c>
      <c r="C74" s="101">
        <v>0</v>
      </c>
      <c r="D74" s="94">
        <v>0</v>
      </c>
      <c r="E74" s="107" t="s">
        <v>353</v>
      </c>
    </row>
    <row r="75" spans="1:5" s="96" customFormat="1" x14ac:dyDescent="0.2">
      <c r="A75" s="93" t="s">
        <v>31</v>
      </c>
      <c r="B75" s="101">
        <v>0</v>
      </c>
      <c r="C75" s="94">
        <f>SUM(C76:C78)</f>
        <v>104780</v>
      </c>
      <c r="D75" s="94">
        <f>SUM(D76:D78)</f>
        <v>104780</v>
      </c>
      <c r="E75" s="95">
        <f>(D75/C75)*100</f>
        <v>100</v>
      </c>
    </row>
    <row r="76" spans="1:5" x14ac:dyDescent="0.2">
      <c r="A76" s="100" t="s">
        <v>69</v>
      </c>
      <c r="B76" s="101">
        <v>0</v>
      </c>
      <c r="C76" s="101">
        <v>104780</v>
      </c>
      <c r="D76" s="114">
        <v>104780</v>
      </c>
      <c r="E76" s="99">
        <f>(D76/C76)*100</f>
        <v>100</v>
      </c>
    </row>
    <row r="77" spans="1:5" x14ac:dyDescent="0.2">
      <c r="A77" s="100" t="s">
        <v>73</v>
      </c>
      <c r="B77" s="101">
        <v>0</v>
      </c>
      <c r="C77" s="101">
        <v>0</v>
      </c>
      <c r="D77" s="114">
        <v>0</v>
      </c>
      <c r="E77" s="107" t="s">
        <v>353</v>
      </c>
    </row>
    <row r="78" spans="1:5" x14ac:dyDescent="0.2">
      <c r="A78" s="100" t="s">
        <v>70</v>
      </c>
      <c r="B78" s="101">
        <v>0</v>
      </c>
      <c r="C78" s="101">
        <v>0</v>
      </c>
      <c r="D78" s="101">
        <v>0</v>
      </c>
      <c r="E78" s="107" t="s">
        <v>353</v>
      </c>
    </row>
    <row r="79" spans="1:5" s="96" customFormat="1" x14ac:dyDescent="0.2">
      <c r="A79" s="93" t="s">
        <v>71</v>
      </c>
      <c r="B79" s="94">
        <f>SUM(B80)</f>
        <v>0</v>
      </c>
      <c r="C79" s="94">
        <f>SUM(C80)</f>
        <v>0</v>
      </c>
      <c r="D79" s="94">
        <f>SUM(D80)</f>
        <v>0</v>
      </c>
      <c r="E79" s="107" t="s">
        <v>353</v>
      </c>
    </row>
    <row r="80" spans="1:5" x14ac:dyDescent="0.2">
      <c r="A80" s="100" t="s">
        <v>74</v>
      </c>
      <c r="B80" s="101">
        <v>0</v>
      </c>
      <c r="C80" s="101">
        <v>0</v>
      </c>
      <c r="D80" s="101">
        <v>0</v>
      </c>
      <c r="E80" s="107" t="s">
        <v>353</v>
      </c>
    </row>
    <row r="81" spans="1:5" s="92" customFormat="1" ht="15" thickBot="1" x14ac:dyDescent="0.25">
      <c r="A81" s="108" t="s">
        <v>407</v>
      </c>
      <c r="B81" s="109">
        <f>SUM(B69,B75,B79)</f>
        <v>257664527</v>
      </c>
      <c r="C81" s="109">
        <f>SUM(C69,C75,C79)</f>
        <v>260372291</v>
      </c>
      <c r="D81" s="109">
        <f>SUM(D69,D75,D79)</f>
        <v>126005918</v>
      </c>
      <c r="E81" s="110">
        <f>(D81/C81)*100</f>
        <v>48.394519061938126</v>
      </c>
    </row>
    <row r="82" spans="1:5" s="92" customFormat="1" ht="15" thickBot="1" x14ac:dyDescent="0.25">
      <c r="B82" s="201"/>
      <c r="C82" s="201"/>
      <c r="D82" s="201"/>
      <c r="E82" s="202"/>
    </row>
    <row r="83" spans="1:5" s="118" customFormat="1" ht="48" thickBot="1" x14ac:dyDescent="0.3">
      <c r="A83" s="115" t="s">
        <v>320</v>
      </c>
      <c r="B83" s="116">
        <f>SUM(B53+B39+B67+B81+B25)</f>
        <v>2770522493</v>
      </c>
      <c r="C83" s="116">
        <f t="shared" ref="C83:D83" si="1">SUM(C53+C39+C67+C81+C25)</f>
        <v>3041244070</v>
      </c>
      <c r="D83" s="116">
        <f t="shared" si="1"/>
        <v>1078058231</v>
      </c>
      <c r="E83" s="117">
        <f>(D83/C83)*100</f>
        <v>35.447935324704147</v>
      </c>
    </row>
  </sheetData>
  <mergeCells count="9">
    <mergeCell ref="A68:C68"/>
    <mergeCell ref="A54:C54"/>
    <mergeCell ref="A40:C40"/>
    <mergeCell ref="A3:E3"/>
    <mergeCell ref="A4:E4"/>
    <mergeCell ref="B9:C9"/>
    <mergeCell ref="A5:E5"/>
    <mergeCell ref="D8:D9"/>
    <mergeCell ref="A8:A9"/>
  </mergeCells>
  <phoneticPr fontId="0" type="noConversion"/>
  <printOptions horizontalCentered="1"/>
  <pageMargins left="0.39370078740157483" right="0.39370078740157483" top="1.1811023622047245" bottom="1.1811023622047245" header="0.51181102362204722" footer="0.51181102362204722"/>
  <pageSetup paperSize="9" scale="96" orientation="portrait" r:id="rId1"/>
  <headerFooter alignWithMargins="0"/>
  <rowBreaks count="1" manualBreakCount="1">
    <brk id="39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K75"/>
  <sheetViews>
    <sheetView view="pageBreakPreview" topLeftCell="A22" zoomScaleNormal="120" zoomScaleSheetLayoutView="100" workbookViewId="0">
      <selection activeCell="C2" sqref="C2:K2"/>
    </sheetView>
  </sheetViews>
  <sheetFormatPr defaultColWidth="8.85546875" defaultRowHeight="12" x14ac:dyDescent="0.2"/>
  <cols>
    <col min="1" max="1" width="7.5703125" style="154" customWidth="1"/>
    <col min="2" max="2" width="3.28515625" style="123" bestFit="1" customWidth="1"/>
    <col min="3" max="3" width="58.85546875" style="123" bestFit="1" customWidth="1"/>
    <col min="4" max="6" width="15.5703125" style="123" bestFit="1" customWidth="1"/>
    <col min="7" max="7" width="10.42578125" style="123" customWidth="1"/>
    <col min="8" max="10" width="15.5703125" style="123" bestFit="1" customWidth="1"/>
    <col min="11" max="11" width="9.7109375" style="123" customWidth="1"/>
    <col min="12" max="16384" width="8.85546875" style="123"/>
  </cols>
  <sheetData>
    <row r="1" spans="1:11" ht="12.75" x14ac:dyDescent="0.2">
      <c r="A1" s="119"/>
      <c r="B1" s="120"/>
      <c r="C1" s="121"/>
      <c r="D1" s="120"/>
      <c r="E1" s="120"/>
      <c r="F1" s="120"/>
      <c r="G1" s="120"/>
      <c r="H1" s="120"/>
      <c r="I1" s="120"/>
      <c r="J1" s="120"/>
      <c r="K1" s="122" t="s">
        <v>58</v>
      </c>
    </row>
    <row r="2" spans="1:11" ht="12.75" x14ac:dyDescent="0.2">
      <c r="A2" s="124"/>
      <c r="B2" s="125"/>
      <c r="C2" s="341" t="s">
        <v>453</v>
      </c>
      <c r="D2" s="342"/>
      <c r="E2" s="342"/>
      <c r="F2" s="342"/>
      <c r="G2" s="342"/>
      <c r="H2" s="342"/>
      <c r="I2" s="342"/>
      <c r="J2" s="342"/>
      <c r="K2" s="342"/>
    </row>
    <row r="3" spans="1:11" ht="13.5" thickBot="1" x14ac:dyDescent="0.25">
      <c r="A3" s="124"/>
      <c r="B3" s="125"/>
      <c r="C3" s="125"/>
      <c r="D3" s="48"/>
      <c r="E3" s="48"/>
      <c r="F3" s="48"/>
      <c r="G3" s="48"/>
      <c r="H3" s="48"/>
      <c r="I3" s="48"/>
      <c r="J3" s="48"/>
      <c r="K3" s="48"/>
    </row>
    <row r="4" spans="1:11" x14ac:dyDescent="0.2">
      <c r="A4" s="13" t="s">
        <v>282</v>
      </c>
      <c r="B4" s="343" t="s">
        <v>50</v>
      </c>
      <c r="C4" s="345" t="s">
        <v>1</v>
      </c>
      <c r="D4" s="347" t="s">
        <v>15</v>
      </c>
      <c r="E4" s="348"/>
      <c r="F4" s="348"/>
      <c r="G4" s="349"/>
      <c r="H4" s="352" t="s">
        <v>16</v>
      </c>
      <c r="I4" s="348"/>
      <c r="J4" s="348"/>
      <c r="K4" s="349"/>
    </row>
    <row r="5" spans="1:11" ht="21.75" thickBot="1" x14ac:dyDescent="0.25">
      <c r="A5" s="13"/>
      <c r="B5" s="344"/>
      <c r="C5" s="346"/>
      <c r="D5" s="126" t="s">
        <v>14</v>
      </c>
      <c r="E5" s="127" t="s">
        <v>19</v>
      </c>
      <c r="F5" s="127" t="s">
        <v>13</v>
      </c>
      <c r="G5" s="128" t="s">
        <v>18</v>
      </c>
      <c r="H5" s="126" t="s">
        <v>14</v>
      </c>
      <c r="I5" s="127" t="s">
        <v>19</v>
      </c>
      <c r="J5" s="127" t="s">
        <v>13</v>
      </c>
      <c r="K5" s="128" t="s">
        <v>17</v>
      </c>
    </row>
    <row r="6" spans="1:11" s="46" customFormat="1" ht="8.25" customHeight="1" thickBot="1" x14ac:dyDescent="0.25">
      <c r="A6" s="13"/>
      <c r="B6" s="340"/>
      <c r="C6" s="338"/>
      <c r="D6" s="338"/>
      <c r="E6" s="338"/>
      <c r="F6" s="338"/>
      <c r="G6" s="338"/>
      <c r="H6" s="338"/>
      <c r="I6" s="338"/>
      <c r="J6" s="338"/>
      <c r="K6" s="339"/>
    </row>
    <row r="7" spans="1:11" s="46" customFormat="1" ht="18.75" customHeight="1" thickBot="1" x14ac:dyDescent="0.25">
      <c r="A7" s="13"/>
      <c r="B7" s="340" t="s">
        <v>51</v>
      </c>
      <c r="C7" s="338" t="s">
        <v>51</v>
      </c>
      <c r="D7" s="338"/>
      <c r="E7" s="338"/>
      <c r="F7" s="338"/>
      <c r="G7" s="338"/>
      <c r="H7" s="338"/>
      <c r="I7" s="338"/>
      <c r="J7" s="338"/>
      <c r="K7" s="339"/>
    </row>
    <row r="8" spans="1:11" ht="24" x14ac:dyDescent="0.2">
      <c r="A8" s="13" t="s">
        <v>288</v>
      </c>
      <c r="B8" s="27" t="s">
        <v>36</v>
      </c>
      <c r="C8" s="15" t="s">
        <v>389</v>
      </c>
      <c r="D8" s="129">
        <v>68884186</v>
      </c>
      <c r="E8" s="130">
        <v>9000000</v>
      </c>
      <c r="F8" s="130">
        <v>3888166</v>
      </c>
      <c r="G8" s="131">
        <f>F8/E8*100</f>
        <v>43.20184444444444</v>
      </c>
      <c r="H8" s="129">
        <v>123221244</v>
      </c>
      <c r="I8" s="130">
        <v>146649145</v>
      </c>
      <c r="J8" s="130">
        <v>85420302</v>
      </c>
      <c r="K8" s="132">
        <f t="shared" ref="K8:K14" si="0">(J8/I8)*100</f>
        <v>58.248073659072475</v>
      </c>
    </row>
    <row r="9" spans="1:11" x14ac:dyDescent="0.2">
      <c r="A9" s="13"/>
      <c r="B9" s="27" t="s">
        <v>37</v>
      </c>
      <c r="C9" s="15" t="s">
        <v>412</v>
      </c>
      <c r="D9" s="129">
        <v>0</v>
      </c>
      <c r="E9" s="130">
        <v>0</v>
      </c>
      <c r="F9" s="130">
        <v>0</v>
      </c>
      <c r="G9" s="131" t="s">
        <v>322</v>
      </c>
      <c r="H9" s="129">
        <v>100000</v>
      </c>
      <c r="I9" s="130">
        <v>100000</v>
      </c>
      <c r="J9" s="130">
        <v>0</v>
      </c>
      <c r="K9" s="131" t="s">
        <v>322</v>
      </c>
    </row>
    <row r="10" spans="1:11" ht="14.25" customHeight="1" x14ac:dyDescent="0.2">
      <c r="A10" s="13" t="s">
        <v>286</v>
      </c>
      <c r="B10" s="27" t="s">
        <v>38</v>
      </c>
      <c r="C10" s="15" t="s">
        <v>48</v>
      </c>
      <c r="D10" s="129">
        <v>14923736</v>
      </c>
      <c r="E10" s="130">
        <v>30296588</v>
      </c>
      <c r="F10" s="130">
        <v>24962917</v>
      </c>
      <c r="G10" s="131">
        <f>F10/E10*100</f>
        <v>82.395142977816519</v>
      </c>
      <c r="H10" s="129">
        <v>61520052</v>
      </c>
      <c r="I10" s="130">
        <v>66869317</v>
      </c>
      <c r="J10" s="130">
        <v>27628989</v>
      </c>
      <c r="K10" s="132">
        <f t="shared" si="0"/>
        <v>41.317887245655584</v>
      </c>
    </row>
    <row r="11" spans="1:11" s="46" customFormat="1" ht="14.25" customHeight="1" x14ac:dyDescent="0.2">
      <c r="A11" s="13" t="s">
        <v>293</v>
      </c>
      <c r="B11" s="12" t="s">
        <v>39</v>
      </c>
      <c r="C11" s="15" t="s">
        <v>278</v>
      </c>
      <c r="D11" s="133">
        <v>977890659</v>
      </c>
      <c r="E11" s="133">
        <v>1037774845</v>
      </c>
      <c r="F11" s="133">
        <v>538500182</v>
      </c>
      <c r="G11" s="131">
        <f>F11/E11*100</f>
        <v>51.889885806588424</v>
      </c>
      <c r="H11" s="134">
        <v>0</v>
      </c>
      <c r="I11" s="134">
        <v>17318991</v>
      </c>
      <c r="J11" s="133">
        <v>17318991</v>
      </c>
      <c r="K11" s="132">
        <f t="shared" si="0"/>
        <v>100</v>
      </c>
    </row>
    <row r="12" spans="1:11" s="46" customFormat="1" ht="14.25" customHeight="1" x14ac:dyDescent="0.2">
      <c r="A12" s="13" t="s">
        <v>290</v>
      </c>
      <c r="B12" s="12" t="s">
        <v>61</v>
      </c>
      <c r="C12" s="15" t="s">
        <v>277</v>
      </c>
      <c r="D12" s="133"/>
      <c r="E12" s="133"/>
      <c r="F12" s="133"/>
      <c r="G12" s="131" t="s">
        <v>322</v>
      </c>
      <c r="H12" s="134">
        <v>31172678</v>
      </c>
      <c r="I12" s="134">
        <v>31172678</v>
      </c>
      <c r="J12" s="133">
        <v>30735969</v>
      </c>
      <c r="K12" s="132">
        <f t="shared" si="0"/>
        <v>98.599064860580796</v>
      </c>
    </row>
    <row r="13" spans="1:11" s="46" customFormat="1" ht="36" x14ac:dyDescent="0.2">
      <c r="A13" s="13" t="s">
        <v>348</v>
      </c>
      <c r="B13" s="12" t="s">
        <v>281</v>
      </c>
      <c r="C13" s="15" t="s">
        <v>413</v>
      </c>
      <c r="D13" s="133">
        <v>206014481</v>
      </c>
      <c r="E13" s="133">
        <v>268183498</v>
      </c>
      <c r="F13" s="133">
        <v>268183498</v>
      </c>
      <c r="G13" s="131">
        <f>F13/E13*100</f>
        <v>100</v>
      </c>
      <c r="H13" s="134">
        <v>15000</v>
      </c>
      <c r="I13" s="134">
        <v>2301791</v>
      </c>
      <c r="J13" s="133">
        <v>2286791</v>
      </c>
      <c r="K13" s="132">
        <f t="shared" si="0"/>
        <v>99.34833353679808</v>
      </c>
    </row>
    <row r="14" spans="1:11" s="46" customFormat="1" x14ac:dyDescent="0.2">
      <c r="A14" s="13" t="s">
        <v>433</v>
      </c>
      <c r="B14" s="12" t="s">
        <v>41</v>
      </c>
      <c r="C14" s="15" t="s">
        <v>431</v>
      </c>
      <c r="D14" s="133"/>
      <c r="E14" s="133"/>
      <c r="F14" s="133"/>
      <c r="G14" s="131" t="s">
        <v>322</v>
      </c>
      <c r="H14" s="134">
        <v>11087824</v>
      </c>
      <c r="I14" s="134">
        <v>12076691</v>
      </c>
      <c r="J14" s="133">
        <v>5632101</v>
      </c>
      <c r="K14" s="132">
        <f t="shared" si="0"/>
        <v>46.636127396155125</v>
      </c>
    </row>
    <row r="15" spans="1:11" s="46" customFormat="1" ht="14.25" customHeight="1" x14ac:dyDescent="0.2">
      <c r="A15" s="13" t="s">
        <v>294</v>
      </c>
      <c r="B15" s="12" t="s">
        <v>64</v>
      </c>
      <c r="C15" s="15" t="s">
        <v>399</v>
      </c>
      <c r="D15" s="133"/>
      <c r="E15" s="133"/>
      <c r="F15" s="133"/>
      <c r="G15" s="131" t="s">
        <v>322</v>
      </c>
      <c r="H15" s="134">
        <v>15844416</v>
      </c>
      <c r="I15" s="134">
        <v>15844416</v>
      </c>
      <c r="J15" s="133">
        <v>6601840</v>
      </c>
      <c r="K15" s="132">
        <f t="shared" ref="K15:K25" si="1">(J15/I15)*100</f>
        <v>41.666666666666671</v>
      </c>
    </row>
    <row r="16" spans="1:11" s="46" customFormat="1" ht="14.25" customHeight="1" x14ac:dyDescent="0.2">
      <c r="A16" s="13" t="s">
        <v>358</v>
      </c>
      <c r="B16" s="12" t="s">
        <v>42</v>
      </c>
      <c r="C16" s="15" t="s">
        <v>354</v>
      </c>
      <c r="D16" s="133">
        <v>7017475</v>
      </c>
      <c r="E16" s="133">
        <v>25295574</v>
      </c>
      <c r="F16" s="133">
        <v>12488569</v>
      </c>
      <c r="G16" s="131">
        <f>F16/E16*100</f>
        <v>49.370569728917793</v>
      </c>
      <c r="H16" s="134">
        <v>6949771</v>
      </c>
      <c r="I16" s="134">
        <v>29234272</v>
      </c>
      <c r="J16" s="133">
        <v>14001680</v>
      </c>
      <c r="K16" s="132">
        <f t="shared" si="1"/>
        <v>47.894744907620755</v>
      </c>
    </row>
    <row r="17" spans="1:11" s="46" customFormat="1" ht="14.25" customHeight="1" x14ac:dyDescent="0.2">
      <c r="A17" s="13" t="s">
        <v>359</v>
      </c>
      <c r="B17" s="12" t="s">
        <v>280</v>
      </c>
      <c r="C17" s="15" t="s">
        <v>355</v>
      </c>
      <c r="D17" s="133">
        <v>21233331</v>
      </c>
      <c r="E17" s="133">
        <v>97080890</v>
      </c>
      <c r="F17" s="133">
        <v>66918329</v>
      </c>
      <c r="G17" s="131">
        <f>F17/E17*100</f>
        <v>68.930485701150872</v>
      </c>
      <c r="H17" s="134">
        <v>21233331</v>
      </c>
      <c r="I17" s="134">
        <v>97791245</v>
      </c>
      <c r="J17" s="133">
        <v>48575580</v>
      </c>
      <c r="K17" s="132">
        <f t="shared" si="1"/>
        <v>49.67272888283609</v>
      </c>
    </row>
    <row r="18" spans="1:11" s="46" customFormat="1" ht="14.25" customHeight="1" x14ac:dyDescent="0.2">
      <c r="A18" s="13" t="s">
        <v>404</v>
      </c>
      <c r="B18" s="12" t="s">
        <v>43</v>
      </c>
      <c r="C18" s="15" t="s">
        <v>402</v>
      </c>
      <c r="D18" s="133">
        <v>15300000</v>
      </c>
      <c r="E18" s="133">
        <v>15680000</v>
      </c>
      <c r="F18" s="133">
        <v>414493</v>
      </c>
      <c r="G18" s="131">
        <f>F18/E18*100</f>
        <v>2.6434502551020409</v>
      </c>
      <c r="H18" s="134">
        <v>15248000</v>
      </c>
      <c r="I18" s="134">
        <v>15248000</v>
      </c>
      <c r="J18" s="133">
        <v>6299583</v>
      </c>
      <c r="K18" s="132">
        <f t="shared" si="1"/>
        <v>41.314159233997898</v>
      </c>
    </row>
    <row r="19" spans="1:11" s="46" customFormat="1" ht="14.25" customHeight="1" x14ac:dyDescent="0.2">
      <c r="A19" s="13" t="s">
        <v>285</v>
      </c>
      <c r="B19" s="12" t="s">
        <v>362</v>
      </c>
      <c r="C19" s="15" t="s">
        <v>40</v>
      </c>
      <c r="D19" s="133"/>
      <c r="E19" s="133"/>
      <c r="F19" s="133"/>
      <c r="G19" s="131" t="s">
        <v>322</v>
      </c>
      <c r="H19" s="134">
        <v>2520000</v>
      </c>
      <c r="I19" s="134">
        <v>2964297</v>
      </c>
      <c r="J19" s="133">
        <v>2874297</v>
      </c>
      <c r="K19" s="132">
        <f t="shared" si="1"/>
        <v>96.963866980940168</v>
      </c>
    </row>
    <row r="20" spans="1:11" s="46" customFormat="1" ht="14.25" customHeight="1" x14ac:dyDescent="0.2">
      <c r="A20" s="13" t="s">
        <v>295</v>
      </c>
      <c r="B20" s="12" t="s">
        <v>363</v>
      </c>
      <c r="C20" s="15" t="s">
        <v>49</v>
      </c>
      <c r="D20" s="133"/>
      <c r="E20" s="133"/>
      <c r="F20" s="133"/>
      <c r="G20" s="131" t="s">
        <v>322</v>
      </c>
      <c r="H20" s="134">
        <v>500000</v>
      </c>
      <c r="I20" s="134">
        <v>500000</v>
      </c>
      <c r="J20" s="133">
        <v>0</v>
      </c>
      <c r="K20" s="132">
        <f t="shared" si="1"/>
        <v>0</v>
      </c>
    </row>
    <row r="21" spans="1:11" s="46" customFormat="1" ht="14.25" customHeight="1" x14ac:dyDescent="0.2">
      <c r="A21" s="13" t="s">
        <v>414</v>
      </c>
      <c r="B21" s="12" t="s">
        <v>44</v>
      </c>
      <c r="C21" s="15" t="s">
        <v>408</v>
      </c>
      <c r="D21" s="133">
        <v>8005338</v>
      </c>
      <c r="E21" s="133">
        <v>8896982</v>
      </c>
      <c r="F21" s="133">
        <v>9692700</v>
      </c>
      <c r="G21" s="131" t="s">
        <v>322</v>
      </c>
      <c r="H21" s="134">
        <v>765900</v>
      </c>
      <c r="I21" s="134">
        <v>1657544</v>
      </c>
      <c r="J21" s="133">
        <v>1309196</v>
      </c>
      <c r="K21" s="131">
        <f t="shared" si="1"/>
        <v>78.984087300246628</v>
      </c>
    </row>
    <row r="22" spans="1:11" ht="13.5" customHeight="1" x14ac:dyDescent="0.2">
      <c r="A22" s="13" t="s">
        <v>283</v>
      </c>
      <c r="B22" s="12" t="s">
        <v>62</v>
      </c>
      <c r="C22" s="15" t="s">
        <v>75</v>
      </c>
      <c r="D22" s="133"/>
      <c r="E22" s="133"/>
      <c r="F22" s="133"/>
      <c r="G22" s="131" t="s">
        <v>322</v>
      </c>
      <c r="H22" s="134">
        <v>11242262</v>
      </c>
      <c r="I22" s="134">
        <v>11242262</v>
      </c>
      <c r="J22" s="133">
        <v>10497404</v>
      </c>
      <c r="K22" s="132">
        <f t="shared" si="1"/>
        <v>93.374482822051291</v>
      </c>
    </row>
    <row r="23" spans="1:11" s="46" customFormat="1" ht="14.25" customHeight="1" x14ac:dyDescent="0.2">
      <c r="A23" s="13" t="s">
        <v>284</v>
      </c>
      <c r="B23" s="12" t="s">
        <v>349</v>
      </c>
      <c r="C23" s="15" t="s">
        <v>24</v>
      </c>
      <c r="D23" s="133">
        <v>127000</v>
      </c>
      <c r="E23" s="133">
        <v>127000</v>
      </c>
      <c r="F23" s="133">
        <v>15000</v>
      </c>
      <c r="G23" s="131">
        <f>F23/E23*100</f>
        <v>11.811023622047244</v>
      </c>
      <c r="H23" s="134">
        <v>21759613</v>
      </c>
      <c r="I23" s="134">
        <v>21759613</v>
      </c>
      <c r="J23" s="133">
        <v>20190542</v>
      </c>
      <c r="K23" s="132">
        <f t="shared" si="1"/>
        <v>92.789067526154994</v>
      </c>
    </row>
    <row r="24" spans="1:11" s="46" customFormat="1" ht="14.25" customHeight="1" x14ac:dyDescent="0.2">
      <c r="A24" s="13" t="s">
        <v>377</v>
      </c>
      <c r="B24" s="12" t="s">
        <v>364</v>
      </c>
      <c r="C24" s="15" t="s">
        <v>374</v>
      </c>
      <c r="D24" s="133">
        <v>0</v>
      </c>
      <c r="E24" s="133">
        <v>0</v>
      </c>
      <c r="F24" s="133">
        <v>172816</v>
      </c>
      <c r="G24" s="131" t="s">
        <v>322</v>
      </c>
      <c r="H24" s="134">
        <v>939475</v>
      </c>
      <c r="I24" s="134">
        <v>939475</v>
      </c>
      <c r="J24" s="133">
        <v>0</v>
      </c>
      <c r="K24" s="132">
        <f t="shared" si="1"/>
        <v>0</v>
      </c>
    </row>
    <row r="25" spans="1:11" s="46" customFormat="1" ht="14.25" customHeight="1" x14ac:dyDescent="0.2">
      <c r="A25" s="13" t="s">
        <v>391</v>
      </c>
      <c r="B25" s="12" t="s">
        <v>45</v>
      </c>
      <c r="C25" s="15" t="s">
        <v>392</v>
      </c>
      <c r="D25" s="133">
        <v>756060436</v>
      </c>
      <c r="E25" s="133">
        <v>824919459</v>
      </c>
      <c r="F25" s="133">
        <v>9809695</v>
      </c>
      <c r="G25" s="131">
        <f>F25/E25*100</f>
        <v>1.1891700326589096</v>
      </c>
      <c r="H25" s="134">
        <v>826208481</v>
      </c>
      <c r="I25" s="134">
        <v>895143637</v>
      </c>
      <c r="J25" s="133">
        <v>37404835</v>
      </c>
      <c r="K25" s="132">
        <f t="shared" si="1"/>
        <v>4.1786405503991757</v>
      </c>
    </row>
    <row r="26" spans="1:11" s="46" customFormat="1" ht="14.25" customHeight="1" x14ac:dyDescent="0.2">
      <c r="A26" s="13" t="s">
        <v>291</v>
      </c>
      <c r="B26" s="12" t="s">
        <v>365</v>
      </c>
      <c r="C26" s="15" t="s">
        <v>321</v>
      </c>
      <c r="D26" s="133"/>
      <c r="E26" s="133"/>
      <c r="F26" s="133"/>
      <c r="G26" s="131" t="s">
        <v>322</v>
      </c>
      <c r="H26" s="134">
        <v>68216175</v>
      </c>
      <c r="I26" s="134">
        <v>68216175</v>
      </c>
      <c r="J26" s="133">
        <v>29462528</v>
      </c>
      <c r="K26" s="132">
        <f t="shared" ref="K26:K33" si="2">(J26/I26)*100</f>
        <v>43.189944320390289</v>
      </c>
    </row>
    <row r="27" spans="1:11" s="46" customFormat="1" ht="14.25" customHeight="1" x14ac:dyDescent="0.2">
      <c r="A27" s="13" t="s">
        <v>287</v>
      </c>
      <c r="B27" s="12" t="s">
        <v>375</v>
      </c>
      <c r="C27" s="15" t="s">
        <v>47</v>
      </c>
      <c r="D27" s="133"/>
      <c r="E27" s="133"/>
      <c r="F27" s="133"/>
      <c r="G27" s="131" t="s">
        <v>322</v>
      </c>
      <c r="H27" s="134">
        <v>53362000</v>
      </c>
      <c r="I27" s="134">
        <v>12279832</v>
      </c>
      <c r="J27" s="133">
        <v>12122466</v>
      </c>
      <c r="K27" s="132">
        <f t="shared" si="2"/>
        <v>98.718500383392865</v>
      </c>
    </row>
    <row r="28" spans="1:11" s="46" customFormat="1" ht="14.25" customHeight="1" x14ac:dyDescent="0.2">
      <c r="A28" s="13" t="s">
        <v>292</v>
      </c>
      <c r="B28" s="12" t="s">
        <v>279</v>
      </c>
      <c r="C28" s="15" t="s">
        <v>76</v>
      </c>
      <c r="D28" s="133">
        <v>11303000</v>
      </c>
      <c r="E28" s="133">
        <v>11476174</v>
      </c>
      <c r="F28" s="133">
        <v>3878533</v>
      </c>
      <c r="G28" s="131">
        <f>F28/E28*100</f>
        <v>33.796394164117757</v>
      </c>
      <c r="H28" s="134">
        <v>43000335</v>
      </c>
      <c r="I28" s="134">
        <v>97477115</v>
      </c>
      <c r="J28" s="133">
        <v>35604017</v>
      </c>
      <c r="K28" s="132">
        <f t="shared" si="2"/>
        <v>36.525513706473568</v>
      </c>
    </row>
    <row r="29" spans="1:11" s="46" customFormat="1" ht="16.5" customHeight="1" x14ac:dyDescent="0.2">
      <c r="A29" s="13" t="s">
        <v>296</v>
      </c>
      <c r="B29" s="350" t="s">
        <v>434</v>
      </c>
      <c r="C29" s="16" t="s">
        <v>27</v>
      </c>
      <c r="D29" s="135">
        <v>33000000</v>
      </c>
      <c r="E29" s="135">
        <v>33571754</v>
      </c>
      <c r="F29" s="135">
        <v>9548000</v>
      </c>
      <c r="G29" s="131">
        <f>F29/E29*100</f>
        <v>28.440575371784266</v>
      </c>
      <c r="H29" s="136">
        <v>33820000</v>
      </c>
      <c r="I29" s="135">
        <v>34391754</v>
      </c>
      <c r="J29" s="135">
        <v>10198958</v>
      </c>
      <c r="K29" s="132">
        <f t="shared" si="2"/>
        <v>29.655242358386257</v>
      </c>
    </row>
    <row r="30" spans="1:11" s="46" customFormat="1" ht="14.25" customHeight="1" x14ac:dyDescent="0.2">
      <c r="A30" s="13" t="s">
        <v>297</v>
      </c>
      <c r="B30" s="351"/>
      <c r="C30" s="15" t="s">
        <v>28</v>
      </c>
      <c r="D30" s="133"/>
      <c r="E30" s="133"/>
      <c r="F30" s="133"/>
      <c r="G30" s="131" t="s">
        <v>322</v>
      </c>
      <c r="H30" s="136">
        <v>240000</v>
      </c>
      <c r="I30" s="135">
        <v>240000</v>
      </c>
      <c r="J30" s="135">
        <v>120000</v>
      </c>
      <c r="K30" s="132">
        <f t="shared" si="2"/>
        <v>50</v>
      </c>
    </row>
    <row r="31" spans="1:11" s="46" customFormat="1" ht="15" customHeight="1" x14ac:dyDescent="0.2">
      <c r="A31" s="13" t="s">
        <v>298</v>
      </c>
      <c r="B31" s="351"/>
      <c r="C31" s="15" t="s">
        <v>46</v>
      </c>
      <c r="D31" s="133">
        <v>11278800</v>
      </c>
      <c r="E31" s="133">
        <v>11278800</v>
      </c>
      <c r="F31" s="133">
        <v>5510400</v>
      </c>
      <c r="G31" s="131">
        <f>F31/E31*100</f>
        <v>48.856261304394081</v>
      </c>
      <c r="H31" s="134">
        <v>12154586</v>
      </c>
      <c r="I31" s="133">
        <v>12154586</v>
      </c>
      <c r="J31" s="133">
        <v>5364182</v>
      </c>
      <c r="K31" s="132">
        <f t="shared" si="2"/>
        <v>44.132988157720881</v>
      </c>
    </row>
    <row r="32" spans="1:11" s="46" customFormat="1" ht="14.25" customHeight="1" x14ac:dyDescent="0.2">
      <c r="A32" s="13" t="s">
        <v>303</v>
      </c>
      <c r="B32" s="161" t="s">
        <v>340</v>
      </c>
      <c r="C32" s="15" t="s">
        <v>77</v>
      </c>
      <c r="D32" s="133"/>
      <c r="E32" s="133"/>
      <c r="F32" s="133"/>
      <c r="G32" s="131" t="s">
        <v>322</v>
      </c>
      <c r="H32" s="134">
        <v>23858000</v>
      </c>
      <c r="I32" s="134">
        <v>23858000</v>
      </c>
      <c r="J32" s="133">
        <v>11929000</v>
      </c>
      <c r="K32" s="132">
        <f t="shared" si="2"/>
        <v>50</v>
      </c>
    </row>
    <row r="33" spans="1:11" s="46" customFormat="1" ht="14.25" customHeight="1" x14ac:dyDescent="0.2">
      <c r="A33" s="13" t="s">
        <v>384</v>
      </c>
      <c r="B33" s="12" t="s">
        <v>435</v>
      </c>
      <c r="C33" s="15" t="s">
        <v>382</v>
      </c>
      <c r="D33" s="133"/>
      <c r="E33" s="133"/>
      <c r="F33" s="133"/>
      <c r="G33" s="131" t="s">
        <v>322</v>
      </c>
      <c r="H33" s="134">
        <v>76200</v>
      </c>
      <c r="I33" s="134">
        <v>76200</v>
      </c>
      <c r="J33" s="133">
        <v>64490</v>
      </c>
      <c r="K33" s="132">
        <f t="shared" si="2"/>
        <v>84.632545931758528</v>
      </c>
    </row>
    <row r="34" spans="1:11" s="46" customFormat="1" ht="14.25" customHeight="1" x14ac:dyDescent="0.2">
      <c r="A34" s="13" t="s">
        <v>361</v>
      </c>
      <c r="B34" s="12" t="s">
        <v>403</v>
      </c>
      <c r="C34" s="15" t="s">
        <v>356</v>
      </c>
      <c r="D34" s="133">
        <v>12145447</v>
      </c>
      <c r="E34" s="133">
        <v>12145447</v>
      </c>
      <c r="F34" s="133">
        <v>6676132</v>
      </c>
      <c r="G34" s="131">
        <f>F34/E34*100</f>
        <v>54.968186844008294</v>
      </c>
      <c r="H34" s="134">
        <v>103277811</v>
      </c>
      <c r="I34" s="134">
        <v>103277811</v>
      </c>
      <c r="J34" s="133">
        <v>58345264</v>
      </c>
      <c r="K34" s="131">
        <f>(J34/I34)*100</f>
        <v>56.493513403377612</v>
      </c>
    </row>
    <row r="35" spans="1:11" s="46" customFormat="1" ht="14.25" customHeight="1" x14ac:dyDescent="0.2">
      <c r="A35" s="13" t="s">
        <v>360</v>
      </c>
      <c r="B35" s="12" t="s">
        <v>304</v>
      </c>
      <c r="C35" s="15" t="s">
        <v>357</v>
      </c>
      <c r="D35" s="133"/>
      <c r="E35" s="133"/>
      <c r="F35" s="133"/>
      <c r="G35" s="131" t="s">
        <v>322</v>
      </c>
      <c r="H35" s="134">
        <v>2107500</v>
      </c>
      <c r="I35" s="134">
        <v>2107500</v>
      </c>
      <c r="J35" s="133">
        <v>259503</v>
      </c>
      <c r="K35" s="132">
        <f>(J35/I35)*100</f>
        <v>12.313309608540925</v>
      </c>
    </row>
    <row r="36" spans="1:11" s="46" customFormat="1" ht="14.25" customHeight="1" x14ac:dyDescent="0.2">
      <c r="A36" s="13" t="s">
        <v>346</v>
      </c>
      <c r="B36" s="12" t="s">
        <v>350</v>
      </c>
      <c r="C36" s="15" t="s">
        <v>345</v>
      </c>
      <c r="D36" s="133">
        <v>12054000</v>
      </c>
      <c r="E36" s="133">
        <v>12054000</v>
      </c>
      <c r="F36" s="133">
        <v>6027000</v>
      </c>
      <c r="G36" s="131">
        <f t="shared" ref="G36:G40" si="3">F36/E36*100</f>
        <v>50</v>
      </c>
      <c r="H36" s="134"/>
      <c r="I36" s="134"/>
      <c r="J36" s="133"/>
      <c r="K36" s="131" t="s">
        <v>322</v>
      </c>
    </row>
    <row r="37" spans="1:11" s="46" customFormat="1" ht="12" customHeight="1" x14ac:dyDescent="0.2">
      <c r="A37" s="13" t="s">
        <v>342</v>
      </c>
      <c r="B37" s="12" t="s">
        <v>366</v>
      </c>
      <c r="C37" s="17" t="s">
        <v>341</v>
      </c>
      <c r="D37" s="133">
        <v>0</v>
      </c>
      <c r="E37" s="133">
        <v>273988</v>
      </c>
      <c r="F37" s="133">
        <v>273988</v>
      </c>
      <c r="G37" s="131">
        <f t="shared" si="3"/>
        <v>100</v>
      </c>
      <c r="H37" s="134">
        <v>15535814</v>
      </c>
      <c r="I37" s="133">
        <v>15535814</v>
      </c>
      <c r="J37" s="133">
        <v>185400</v>
      </c>
      <c r="K37" s="132">
        <f t="shared" ref="K37:K41" si="4">(J37/I37)*100</f>
        <v>1.1933716508191976</v>
      </c>
    </row>
    <row r="38" spans="1:11" s="46" customFormat="1" ht="16.149999999999999" customHeight="1" x14ac:dyDescent="0.2">
      <c r="A38" s="13" t="s">
        <v>299</v>
      </c>
      <c r="B38" s="12" t="s">
        <v>343</v>
      </c>
      <c r="C38" s="15" t="s">
        <v>29</v>
      </c>
      <c r="D38" s="133">
        <v>44714033</v>
      </c>
      <c r="E38" s="133">
        <v>44714033</v>
      </c>
      <c r="F38" s="133">
        <v>19860480</v>
      </c>
      <c r="G38" s="131">
        <f t="shared" si="3"/>
        <v>44.416659977864221</v>
      </c>
      <c r="H38" s="134">
        <v>84616112</v>
      </c>
      <c r="I38" s="133">
        <v>84616112</v>
      </c>
      <c r="J38" s="133">
        <v>34989899</v>
      </c>
      <c r="K38" s="132">
        <f t="shared" si="4"/>
        <v>41.351343346997552</v>
      </c>
    </row>
    <row r="39" spans="1:11" s="46" customFormat="1" ht="15.75" customHeight="1" x14ac:dyDescent="0.2">
      <c r="A39" s="13" t="s">
        <v>300</v>
      </c>
      <c r="B39" s="12" t="s">
        <v>344</v>
      </c>
      <c r="C39" s="15" t="s">
        <v>35</v>
      </c>
      <c r="D39" s="133">
        <v>850000</v>
      </c>
      <c r="E39" s="133">
        <v>850000</v>
      </c>
      <c r="F39" s="133">
        <v>452230</v>
      </c>
      <c r="G39" s="131">
        <f t="shared" si="3"/>
        <v>53.203529411764706</v>
      </c>
      <c r="H39" s="137">
        <v>26624737</v>
      </c>
      <c r="I39" s="133">
        <v>29825647</v>
      </c>
      <c r="J39" s="133">
        <v>11121924</v>
      </c>
      <c r="K39" s="132">
        <f t="shared" si="4"/>
        <v>37.28979961440568</v>
      </c>
    </row>
    <row r="40" spans="1:11" s="46" customFormat="1" ht="14.25" customHeight="1" x14ac:dyDescent="0.2">
      <c r="A40" s="13" t="s">
        <v>301</v>
      </c>
      <c r="B40" s="12" t="s">
        <v>376</v>
      </c>
      <c r="C40" s="15" t="s">
        <v>351</v>
      </c>
      <c r="D40" s="133">
        <v>150000</v>
      </c>
      <c r="E40" s="133">
        <v>755481</v>
      </c>
      <c r="F40" s="133">
        <v>147500</v>
      </c>
      <c r="G40" s="131">
        <f t="shared" si="3"/>
        <v>19.523985381498672</v>
      </c>
      <c r="H40" s="134">
        <v>12320000</v>
      </c>
      <c r="I40" s="134">
        <v>11838690</v>
      </c>
      <c r="J40" s="133">
        <v>4242705</v>
      </c>
      <c r="K40" s="132">
        <f t="shared" si="4"/>
        <v>35.837622236919792</v>
      </c>
    </row>
    <row r="41" spans="1:11" s="46" customFormat="1" ht="14.25" customHeight="1" x14ac:dyDescent="0.2">
      <c r="A41" s="13" t="s">
        <v>393</v>
      </c>
      <c r="B41" s="12" t="s">
        <v>400</v>
      </c>
      <c r="C41" s="15" t="s">
        <v>394</v>
      </c>
      <c r="D41" s="133"/>
      <c r="E41" s="133"/>
      <c r="F41" s="133"/>
      <c r="G41" s="131" t="s">
        <v>322</v>
      </c>
      <c r="H41" s="134">
        <v>1035000</v>
      </c>
      <c r="I41" s="134">
        <v>1035000</v>
      </c>
      <c r="J41" s="133">
        <v>1035000</v>
      </c>
      <c r="K41" s="132">
        <f t="shared" si="4"/>
        <v>100</v>
      </c>
    </row>
    <row r="42" spans="1:11" s="46" customFormat="1" ht="14.25" customHeight="1" x14ac:dyDescent="0.2">
      <c r="A42" s="13"/>
      <c r="B42" s="12" t="s">
        <v>409</v>
      </c>
      <c r="C42" s="15" t="s">
        <v>26</v>
      </c>
      <c r="D42" s="133"/>
      <c r="E42" s="133"/>
      <c r="F42" s="133"/>
      <c r="G42" s="139" t="s">
        <v>322</v>
      </c>
      <c r="H42" s="194">
        <v>42131039</v>
      </c>
      <c r="I42" s="133">
        <v>57546794</v>
      </c>
      <c r="J42" s="192" t="s">
        <v>322</v>
      </c>
      <c r="K42" s="131" t="s">
        <v>322</v>
      </c>
    </row>
    <row r="43" spans="1:11" s="46" customFormat="1" ht="24" x14ac:dyDescent="0.2">
      <c r="A43" s="13" t="s">
        <v>347</v>
      </c>
      <c r="B43" s="30" t="s">
        <v>305</v>
      </c>
      <c r="C43" s="15" t="s">
        <v>352</v>
      </c>
      <c r="D43" s="133">
        <v>269100000</v>
      </c>
      <c r="E43" s="133">
        <v>283517063</v>
      </c>
      <c r="F43" s="133">
        <v>199228017</v>
      </c>
      <c r="G43" s="139">
        <f>F43/E43*100</f>
        <v>70.270203455091519</v>
      </c>
      <c r="H43" s="195" t="s">
        <v>322</v>
      </c>
      <c r="I43" s="192" t="s">
        <v>322</v>
      </c>
      <c r="J43" s="192" t="s">
        <v>322</v>
      </c>
      <c r="K43" s="131" t="s">
        <v>322</v>
      </c>
    </row>
    <row r="44" spans="1:11" s="46" customFormat="1" ht="12.75" thickBot="1" x14ac:dyDescent="0.25">
      <c r="A44" s="13"/>
      <c r="B44" s="29" t="s">
        <v>63</v>
      </c>
      <c r="C44" s="28" t="s">
        <v>430</v>
      </c>
      <c r="D44" s="138">
        <v>2000000</v>
      </c>
      <c r="E44" s="138">
        <v>2000000</v>
      </c>
      <c r="F44" s="138">
        <v>1466301</v>
      </c>
      <c r="G44" s="193">
        <f>F44/E44*100</f>
        <v>73.315049999999999</v>
      </c>
      <c r="H44" s="196" t="s">
        <v>322</v>
      </c>
      <c r="I44" s="150" t="s">
        <v>322</v>
      </c>
      <c r="J44" s="150" t="s">
        <v>322</v>
      </c>
      <c r="K44" s="189" t="s">
        <v>322</v>
      </c>
    </row>
    <row r="45" spans="1:11" s="145" customFormat="1" ht="24.75" customHeight="1" thickBot="1" x14ac:dyDescent="0.25">
      <c r="A45" s="32"/>
      <c r="B45" s="25" t="s">
        <v>401</v>
      </c>
      <c r="C45" s="26" t="s">
        <v>20</v>
      </c>
      <c r="D45" s="141">
        <f>SUM(D8:D44)</f>
        <v>2472051922</v>
      </c>
      <c r="E45" s="141">
        <f>SUM(E8:E44)</f>
        <v>2729891576</v>
      </c>
      <c r="F45" s="141">
        <f>SUM(F8:F44)</f>
        <v>1188114946</v>
      </c>
      <c r="G45" s="142">
        <f>F45/E45*100</f>
        <v>43.522422518365985</v>
      </c>
      <c r="H45" s="143">
        <f>SUM(H8:H43)</f>
        <v>1672703356</v>
      </c>
      <c r="I45" s="143">
        <f>SUM(I8:I43)</f>
        <v>1923290404</v>
      </c>
      <c r="J45" s="143">
        <f>SUM(J8:J43)</f>
        <v>531823436</v>
      </c>
      <c r="K45" s="144">
        <f>(J45/I45)*100</f>
        <v>27.651749049125918</v>
      </c>
    </row>
    <row r="46" spans="1:11" s="46" customFormat="1" ht="18.75" customHeight="1" thickBot="1" x14ac:dyDescent="0.25">
      <c r="A46" s="13"/>
      <c r="B46" s="340" t="s">
        <v>7</v>
      </c>
      <c r="C46" s="338"/>
      <c r="D46" s="338"/>
      <c r="E46" s="338"/>
      <c r="F46" s="338"/>
      <c r="G46" s="338"/>
      <c r="H46" s="338"/>
      <c r="I46" s="338"/>
      <c r="J46" s="338"/>
      <c r="K46" s="339"/>
    </row>
    <row r="47" spans="1:11" ht="36.75" thickBot="1" x14ac:dyDescent="0.25">
      <c r="A47" s="13" t="s">
        <v>288</v>
      </c>
      <c r="B47" s="27" t="s">
        <v>36</v>
      </c>
      <c r="C47" s="15" t="s">
        <v>410</v>
      </c>
      <c r="D47" s="146">
        <v>550000</v>
      </c>
      <c r="E47" s="146">
        <v>550000</v>
      </c>
      <c r="F47" s="146">
        <v>1231447</v>
      </c>
      <c r="G47" s="162">
        <f>F47/E47*100</f>
        <v>223.89945454545455</v>
      </c>
      <c r="H47" s="148">
        <v>217493192</v>
      </c>
      <c r="I47" s="146">
        <v>218631421</v>
      </c>
      <c r="J47" s="146">
        <v>100168461</v>
      </c>
      <c r="K47" s="163">
        <f>(J47/I47)*100</f>
        <v>45.816132256671374</v>
      </c>
    </row>
    <row r="48" spans="1:11" x14ac:dyDescent="0.2">
      <c r="A48" s="13" t="s">
        <v>391</v>
      </c>
      <c r="B48" s="27" t="s">
        <v>37</v>
      </c>
      <c r="C48" s="15" t="s">
        <v>392</v>
      </c>
      <c r="D48" s="129">
        <v>0</v>
      </c>
      <c r="E48" s="130">
        <v>0</v>
      </c>
      <c r="F48" s="130">
        <v>0</v>
      </c>
      <c r="G48" s="131" t="s">
        <v>322</v>
      </c>
      <c r="H48" s="129">
        <v>1130000</v>
      </c>
      <c r="I48" s="130">
        <v>1130000</v>
      </c>
      <c r="J48" s="130">
        <v>1130000</v>
      </c>
      <c r="K48" s="163">
        <f>(J48/I48)*100</f>
        <v>100</v>
      </c>
    </row>
    <row r="49" spans="1:11" s="46" customFormat="1" ht="24.75" thickBot="1" x14ac:dyDescent="0.25">
      <c r="A49" s="13" t="s">
        <v>348</v>
      </c>
      <c r="B49" s="27" t="s">
        <v>38</v>
      </c>
      <c r="C49" s="28" t="s">
        <v>432</v>
      </c>
      <c r="D49" s="138">
        <v>15000000</v>
      </c>
      <c r="E49" s="138">
        <v>19339139</v>
      </c>
      <c r="F49" s="138">
        <v>19339139</v>
      </c>
      <c r="G49" s="131">
        <f>F49/E49*100</f>
        <v>100</v>
      </c>
      <c r="H49" s="167">
        <v>0</v>
      </c>
      <c r="I49" s="168">
        <v>0</v>
      </c>
      <c r="J49" s="168">
        <v>0</v>
      </c>
      <c r="K49" s="140" t="s">
        <v>322</v>
      </c>
    </row>
    <row r="50" spans="1:11" s="145" customFormat="1" ht="24.75" customHeight="1" thickBot="1" x14ac:dyDescent="0.25">
      <c r="A50" s="32"/>
      <c r="B50" s="210" t="s">
        <v>39</v>
      </c>
      <c r="C50" s="26" t="s">
        <v>20</v>
      </c>
      <c r="D50" s="141">
        <f>SUM(D47:D49)</f>
        <v>15550000</v>
      </c>
      <c r="E50" s="141">
        <f>SUM(E47:E49)</f>
        <v>19889139</v>
      </c>
      <c r="F50" s="141">
        <f>SUM(F47:F49)</f>
        <v>20570586</v>
      </c>
      <c r="G50" s="142">
        <f>F50/E50*100</f>
        <v>103.42622674616533</v>
      </c>
      <c r="H50" s="143">
        <f>SUM(H47:H49)</f>
        <v>218623192</v>
      </c>
      <c r="I50" s="143">
        <f>SUM(I47:I49)</f>
        <v>219761421</v>
      </c>
      <c r="J50" s="143">
        <f>SUM(J47:J49)</f>
        <v>101298461</v>
      </c>
      <c r="K50" s="144">
        <f>(J50/I50)*100</f>
        <v>46.09474244344279</v>
      </c>
    </row>
    <row r="51" spans="1:11" s="46" customFormat="1" ht="33.75" customHeight="1" thickBot="1" x14ac:dyDescent="0.25">
      <c r="A51" s="13"/>
      <c r="B51" s="340" t="s">
        <v>378</v>
      </c>
      <c r="C51" s="338"/>
      <c r="D51" s="338"/>
      <c r="E51" s="338"/>
      <c r="F51" s="338"/>
      <c r="G51" s="338"/>
      <c r="H51" s="338"/>
      <c r="I51" s="338"/>
      <c r="J51" s="338"/>
      <c r="K51" s="339"/>
    </row>
    <row r="52" spans="1:11" ht="18" customHeight="1" x14ac:dyDescent="0.2">
      <c r="A52" s="13"/>
      <c r="B52" s="27" t="s">
        <v>36</v>
      </c>
      <c r="C52" s="15" t="s">
        <v>396</v>
      </c>
      <c r="D52" s="146">
        <v>2685034</v>
      </c>
      <c r="E52" s="146">
        <v>2685034</v>
      </c>
      <c r="F52" s="146">
        <v>854325</v>
      </c>
      <c r="G52" s="147">
        <f>F52/E52*100</f>
        <v>31.818032844276832</v>
      </c>
      <c r="H52" s="146">
        <v>72533900</v>
      </c>
      <c r="I52" s="146">
        <v>72533900</v>
      </c>
      <c r="J52" s="146">
        <v>34312760</v>
      </c>
      <c r="K52" s="149">
        <f t="shared" ref="K52:K60" si="5">(J52/I52)*100</f>
        <v>47.30582527618121</v>
      </c>
    </row>
    <row r="53" spans="1:11" ht="18" customHeight="1" x14ac:dyDescent="0.2">
      <c r="A53" s="13"/>
      <c r="B53" s="27" t="s">
        <v>37</v>
      </c>
      <c r="C53" s="15" t="s">
        <v>395</v>
      </c>
      <c r="D53" s="151">
        <v>0</v>
      </c>
      <c r="E53" s="151">
        <v>0</v>
      </c>
      <c r="F53" s="151">
        <v>0</v>
      </c>
      <c r="G53" s="131" t="s">
        <v>322</v>
      </c>
      <c r="H53" s="151">
        <v>254010531</v>
      </c>
      <c r="I53" s="151">
        <v>253087786</v>
      </c>
      <c r="J53" s="151">
        <v>136670130</v>
      </c>
      <c r="K53" s="152">
        <f t="shared" si="5"/>
        <v>54.001076922771773</v>
      </c>
    </row>
    <row r="54" spans="1:11" ht="24.75" thickBot="1" x14ac:dyDescent="0.25">
      <c r="A54" s="13"/>
      <c r="B54" s="27" t="s">
        <v>38</v>
      </c>
      <c r="C54" s="15" t="s">
        <v>415</v>
      </c>
      <c r="D54" s="129">
        <v>0</v>
      </c>
      <c r="E54" s="130">
        <v>0</v>
      </c>
      <c r="F54" s="130">
        <v>0</v>
      </c>
      <c r="G54" s="131" t="s">
        <v>322</v>
      </c>
      <c r="H54" s="151">
        <v>3418080</v>
      </c>
      <c r="I54" s="151">
        <v>3418080</v>
      </c>
      <c r="J54" s="151">
        <v>1486624</v>
      </c>
      <c r="K54" s="152">
        <f t="shared" si="5"/>
        <v>43.492955109301128</v>
      </c>
    </row>
    <row r="55" spans="1:11" ht="18" customHeight="1" x14ac:dyDescent="0.2">
      <c r="A55" s="13"/>
      <c r="B55" s="27" t="s">
        <v>39</v>
      </c>
      <c r="C55" s="15" t="s">
        <v>405</v>
      </c>
      <c r="D55" s="153">
        <v>0</v>
      </c>
      <c r="E55" s="151">
        <v>536852</v>
      </c>
      <c r="F55" s="151">
        <v>6035153</v>
      </c>
      <c r="G55" s="147">
        <f>F55/E55*100</f>
        <v>1124.1744465886316</v>
      </c>
      <c r="H55" s="151">
        <v>14624105</v>
      </c>
      <c r="I55" s="151">
        <v>28013119</v>
      </c>
      <c r="J55" s="151">
        <v>18853569</v>
      </c>
      <c r="K55" s="152">
        <f t="shared" si="5"/>
        <v>67.302641308881022</v>
      </c>
    </row>
    <row r="56" spans="1:11" ht="18" customHeight="1" thickBot="1" x14ac:dyDescent="0.25">
      <c r="A56" s="13"/>
      <c r="B56" s="27" t="s">
        <v>61</v>
      </c>
      <c r="C56" s="15" t="s">
        <v>388</v>
      </c>
      <c r="D56" s="129">
        <v>0</v>
      </c>
      <c r="E56" s="130">
        <v>0</v>
      </c>
      <c r="F56" s="130">
        <v>0</v>
      </c>
      <c r="G56" s="131" t="s">
        <v>322</v>
      </c>
      <c r="H56" s="130">
        <v>14712166</v>
      </c>
      <c r="I56" s="130">
        <v>14712166</v>
      </c>
      <c r="J56" s="130">
        <v>5930738</v>
      </c>
      <c r="K56" s="132">
        <f t="shared" si="5"/>
        <v>40.311793654313036</v>
      </c>
    </row>
    <row r="57" spans="1:11" ht="18" customHeight="1" x14ac:dyDescent="0.2">
      <c r="A57" s="13"/>
      <c r="B57" s="27" t="s">
        <v>281</v>
      </c>
      <c r="C57" s="15" t="s">
        <v>379</v>
      </c>
      <c r="D57" s="129">
        <v>0</v>
      </c>
      <c r="E57" s="130">
        <v>901628</v>
      </c>
      <c r="F57" s="130">
        <v>901628</v>
      </c>
      <c r="G57" s="147">
        <f>F57/E57*100</f>
        <v>100</v>
      </c>
      <c r="H57" s="129">
        <v>68206909</v>
      </c>
      <c r="I57" s="130">
        <v>69459786</v>
      </c>
      <c r="J57" s="130">
        <v>27997396</v>
      </c>
      <c r="K57" s="132">
        <f t="shared" si="5"/>
        <v>40.30734560570054</v>
      </c>
    </row>
    <row r="58" spans="1:11" ht="18" customHeight="1" thickBot="1" x14ac:dyDescent="0.25">
      <c r="A58" s="13"/>
      <c r="B58" s="27" t="s">
        <v>41</v>
      </c>
      <c r="C58" s="15" t="s">
        <v>380</v>
      </c>
      <c r="D58" s="129">
        <v>0</v>
      </c>
      <c r="E58" s="130">
        <v>0</v>
      </c>
      <c r="F58" s="130">
        <v>0</v>
      </c>
      <c r="G58" s="131" t="s">
        <v>322</v>
      </c>
      <c r="H58" s="129">
        <v>26454602</v>
      </c>
      <c r="I58" s="130">
        <v>26461834</v>
      </c>
      <c r="J58" s="130">
        <v>15865956</v>
      </c>
      <c r="K58" s="132">
        <f t="shared" si="5"/>
        <v>59.957885005249445</v>
      </c>
    </row>
    <row r="59" spans="1:11" ht="18" customHeight="1" thickBot="1" x14ac:dyDescent="0.25">
      <c r="A59" s="13"/>
      <c r="B59" s="27" t="s">
        <v>64</v>
      </c>
      <c r="C59" s="15" t="s">
        <v>381</v>
      </c>
      <c r="D59" s="129">
        <v>0</v>
      </c>
      <c r="E59" s="130">
        <v>223788</v>
      </c>
      <c r="F59" s="130">
        <v>223788</v>
      </c>
      <c r="G59" s="147">
        <f t="shared" ref="G59:G60" si="6">F59/E59*100</f>
        <v>100</v>
      </c>
      <c r="H59" s="129">
        <v>87515265</v>
      </c>
      <c r="I59" s="130">
        <v>89574835</v>
      </c>
      <c r="J59" s="130">
        <v>43634718</v>
      </c>
      <c r="K59" s="132">
        <f t="shared" si="5"/>
        <v>48.713143596636264</v>
      </c>
    </row>
    <row r="60" spans="1:11" ht="18" customHeight="1" x14ac:dyDescent="0.2">
      <c r="A60" s="13"/>
      <c r="B60" s="27" t="s">
        <v>42</v>
      </c>
      <c r="C60" s="15" t="s">
        <v>387</v>
      </c>
      <c r="D60" s="129">
        <v>1927860</v>
      </c>
      <c r="E60" s="130">
        <v>1927860</v>
      </c>
      <c r="F60" s="130">
        <v>1509178</v>
      </c>
      <c r="G60" s="147">
        <f t="shared" si="6"/>
        <v>78.282551637567039</v>
      </c>
      <c r="H60" s="129">
        <v>15585389</v>
      </c>
      <c r="I60" s="130">
        <v>15585389</v>
      </c>
      <c r="J60" s="130">
        <v>8854792</v>
      </c>
      <c r="K60" s="132">
        <f t="shared" si="5"/>
        <v>56.814699973160764</v>
      </c>
    </row>
    <row r="61" spans="1:11" s="46" customFormat="1" ht="24.75" thickBot="1" x14ac:dyDescent="0.25">
      <c r="A61" s="13" t="s">
        <v>348</v>
      </c>
      <c r="B61" s="30" t="s">
        <v>280</v>
      </c>
      <c r="C61" s="15" t="s">
        <v>411</v>
      </c>
      <c r="D61" s="138">
        <v>15000000</v>
      </c>
      <c r="E61" s="138">
        <v>18170164</v>
      </c>
      <c r="F61" s="138">
        <v>18170164</v>
      </c>
      <c r="G61" s="131">
        <f t="shared" ref="G61" si="7">F61/E61*100</f>
        <v>100</v>
      </c>
      <c r="H61" s="139" t="s">
        <v>322</v>
      </c>
      <c r="I61" s="139" t="s">
        <v>322</v>
      </c>
      <c r="J61" s="139" t="s">
        <v>322</v>
      </c>
      <c r="K61" s="131" t="s">
        <v>322</v>
      </c>
    </row>
    <row r="62" spans="1:11" s="145" customFormat="1" ht="24.75" customHeight="1" thickBot="1" x14ac:dyDescent="0.25">
      <c r="A62" s="32"/>
      <c r="B62" s="25" t="s">
        <v>43</v>
      </c>
      <c r="C62" s="26" t="s">
        <v>20</v>
      </c>
      <c r="D62" s="141">
        <f>SUM(D52:D61)</f>
        <v>19612894</v>
      </c>
      <c r="E62" s="141">
        <f>SUM(E52:E61)</f>
        <v>24445326</v>
      </c>
      <c r="F62" s="141">
        <f>SUM(F52:F61)</f>
        <v>27694236</v>
      </c>
      <c r="G62" s="142">
        <f>F62/E62*100</f>
        <v>113.29051615020393</v>
      </c>
      <c r="H62" s="143">
        <f>SUM(H52:H61)</f>
        <v>557060947</v>
      </c>
      <c r="I62" s="143">
        <f>SUM(I52:I61)</f>
        <v>572846895</v>
      </c>
      <c r="J62" s="143">
        <f>SUM(J52:J61)</f>
        <v>293606683</v>
      </c>
      <c r="K62" s="144">
        <f>(J62/I62)*100</f>
        <v>51.253953816054107</v>
      </c>
    </row>
    <row r="63" spans="1:11" s="46" customFormat="1" ht="18.75" customHeight="1" thickBot="1" x14ac:dyDescent="0.25">
      <c r="A63" s="13"/>
      <c r="B63" s="340" t="s">
        <v>367</v>
      </c>
      <c r="C63" s="338"/>
      <c r="D63" s="338"/>
      <c r="E63" s="338"/>
      <c r="F63" s="338"/>
      <c r="G63" s="338"/>
      <c r="H63" s="338"/>
      <c r="I63" s="338"/>
      <c r="J63" s="338"/>
      <c r="K63" s="339"/>
    </row>
    <row r="64" spans="1:11" ht="21" customHeight="1" x14ac:dyDescent="0.2">
      <c r="A64" s="13" t="s">
        <v>302</v>
      </c>
      <c r="B64" s="27" t="s">
        <v>36</v>
      </c>
      <c r="C64" s="15" t="s">
        <v>339</v>
      </c>
      <c r="D64" s="146">
        <v>0</v>
      </c>
      <c r="E64" s="146">
        <v>0</v>
      </c>
      <c r="F64" s="146">
        <v>0</v>
      </c>
      <c r="G64" s="147" t="s">
        <v>322</v>
      </c>
      <c r="H64" s="148">
        <v>1877600</v>
      </c>
      <c r="I64" s="146">
        <v>1890300</v>
      </c>
      <c r="J64" s="146">
        <v>692290</v>
      </c>
      <c r="K64" s="149">
        <f t="shared" ref="K64:K67" si="8">(J64/I64)*100</f>
        <v>36.623287308892763</v>
      </c>
    </row>
    <row r="65" spans="1:11" ht="18" customHeight="1" x14ac:dyDescent="0.2">
      <c r="A65" s="13" t="s">
        <v>385</v>
      </c>
      <c r="B65" s="27" t="s">
        <v>37</v>
      </c>
      <c r="C65" s="15" t="s">
        <v>383</v>
      </c>
      <c r="D65" s="130">
        <v>57150</v>
      </c>
      <c r="E65" s="130">
        <v>57150</v>
      </c>
      <c r="F65" s="130">
        <v>42000</v>
      </c>
      <c r="G65" s="131">
        <f>F65/E65*100</f>
        <v>73.490813648293965</v>
      </c>
      <c r="H65" s="129">
        <v>6270560</v>
      </c>
      <c r="I65" s="130">
        <v>6270560</v>
      </c>
      <c r="J65" s="130">
        <v>3056650</v>
      </c>
      <c r="K65" s="132">
        <f t="shared" si="8"/>
        <v>48.746045010334008</v>
      </c>
    </row>
    <row r="66" spans="1:11" ht="24" customHeight="1" x14ac:dyDescent="0.2">
      <c r="A66" s="13" t="s">
        <v>397</v>
      </c>
      <c r="B66" s="27" t="s">
        <v>38</v>
      </c>
      <c r="C66" s="15" t="s">
        <v>390</v>
      </c>
      <c r="D66" s="151">
        <v>3086000</v>
      </c>
      <c r="E66" s="151">
        <v>3236000</v>
      </c>
      <c r="F66" s="151">
        <v>1293358</v>
      </c>
      <c r="G66" s="131">
        <f>F66/E66*100</f>
        <v>39.967799752781211</v>
      </c>
      <c r="H66" s="129">
        <v>35997311</v>
      </c>
      <c r="I66" s="130">
        <v>36487199</v>
      </c>
      <c r="J66" s="130">
        <v>18620241</v>
      </c>
      <c r="K66" s="132">
        <f t="shared" si="8"/>
        <v>51.032256545644948</v>
      </c>
    </row>
    <row r="67" spans="1:11" ht="24" customHeight="1" x14ac:dyDescent="0.2">
      <c r="A67" s="13" t="s">
        <v>289</v>
      </c>
      <c r="B67" s="33" t="s">
        <v>39</v>
      </c>
      <c r="C67" s="15" t="s">
        <v>25</v>
      </c>
      <c r="D67" s="129">
        <v>0</v>
      </c>
      <c r="E67" s="130">
        <v>500000</v>
      </c>
      <c r="F67" s="130">
        <v>725000</v>
      </c>
      <c r="G67" s="131">
        <f>F67/E67*100</f>
        <v>145</v>
      </c>
      <c r="H67" s="129">
        <v>20325000</v>
      </c>
      <c r="I67" s="130">
        <v>20325000</v>
      </c>
      <c r="J67" s="130">
        <v>2954552</v>
      </c>
      <c r="K67" s="132">
        <f t="shared" si="8"/>
        <v>14.536541205412053</v>
      </c>
    </row>
    <row r="68" spans="1:11" s="46" customFormat="1" ht="24.75" thickBot="1" x14ac:dyDescent="0.25">
      <c r="A68" s="13" t="s">
        <v>348</v>
      </c>
      <c r="B68" s="30" t="s">
        <v>61</v>
      </c>
      <c r="C68" s="28" t="s">
        <v>411</v>
      </c>
      <c r="D68" s="133">
        <v>2500000</v>
      </c>
      <c r="E68" s="133">
        <v>2852588</v>
      </c>
      <c r="F68" s="133">
        <v>2852588</v>
      </c>
      <c r="G68" s="131">
        <f>F68/E68*100</f>
        <v>100</v>
      </c>
      <c r="H68" s="139" t="s">
        <v>322</v>
      </c>
      <c r="I68" s="150" t="s">
        <v>322</v>
      </c>
      <c r="J68" s="150" t="s">
        <v>322</v>
      </c>
      <c r="K68" s="140" t="s">
        <v>322</v>
      </c>
    </row>
    <row r="69" spans="1:11" s="145" customFormat="1" ht="24.75" customHeight="1" thickBot="1" x14ac:dyDescent="0.25">
      <c r="A69" s="32"/>
      <c r="B69" s="25" t="s">
        <v>281</v>
      </c>
      <c r="C69" s="26" t="s">
        <v>20</v>
      </c>
      <c r="D69" s="141">
        <f>SUM(D64:D68)</f>
        <v>5643150</v>
      </c>
      <c r="E69" s="141">
        <f>SUM(E64:E68)</f>
        <v>6645738</v>
      </c>
      <c r="F69" s="141">
        <f>SUM(F64:F68)</f>
        <v>4912946</v>
      </c>
      <c r="G69" s="142">
        <f>F69/E69*100</f>
        <v>73.926266729142796</v>
      </c>
      <c r="H69" s="143">
        <f>SUM(H64:H68)</f>
        <v>64470471</v>
      </c>
      <c r="I69" s="143">
        <f>SUM(I64:I68)</f>
        <v>64973059</v>
      </c>
      <c r="J69" s="143">
        <f>SUM(J64:J68)</f>
        <v>25323733</v>
      </c>
      <c r="K69" s="144">
        <f>(J69/I69)*100</f>
        <v>38.975743777124606</v>
      </c>
    </row>
    <row r="70" spans="1:11" s="46" customFormat="1" ht="18.75" customHeight="1" thickBot="1" x14ac:dyDescent="0.25">
      <c r="A70" s="13"/>
      <c r="B70" s="340" t="s">
        <v>429</v>
      </c>
      <c r="C70" s="338"/>
      <c r="D70" s="338"/>
      <c r="E70" s="338"/>
      <c r="F70" s="338"/>
      <c r="G70" s="338"/>
      <c r="H70" s="338"/>
      <c r="I70" s="338"/>
      <c r="J70" s="338"/>
      <c r="K70" s="339"/>
    </row>
    <row r="71" spans="1:11" ht="21" customHeight="1" x14ac:dyDescent="0.2">
      <c r="A71" s="13" t="s">
        <v>436</v>
      </c>
      <c r="B71" s="27" t="s">
        <v>36</v>
      </c>
      <c r="C71" s="15" t="s">
        <v>437</v>
      </c>
      <c r="D71" s="146">
        <v>257664527</v>
      </c>
      <c r="E71" s="146">
        <v>257770787</v>
      </c>
      <c r="F71" s="146">
        <v>118664870</v>
      </c>
      <c r="G71" s="131">
        <f t="shared" ref="G71:G72" si="9">F71/E71*100</f>
        <v>46.035034218210299</v>
      </c>
      <c r="H71" s="146">
        <v>257664527</v>
      </c>
      <c r="I71" s="146">
        <v>260372291</v>
      </c>
      <c r="J71" s="146">
        <v>126005918</v>
      </c>
      <c r="K71" s="149">
        <f t="shared" ref="K71" si="10">(J71/I71)*100</f>
        <v>48.394519061938126</v>
      </c>
    </row>
    <row r="72" spans="1:11" s="46" customFormat="1" ht="24.75" thickBot="1" x14ac:dyDescent="0.25">
      <c r="A72" s="13" t="s">
        <v>348</v>
      </c>
      <c r="B72" s="30" t="s">
        <v>37</v>
      </c>
      <c r="C72" s="28" t="s">
        <v>411</v>
      </c>
      <c r="D72" s="129">
        <v>0</v>
      </c>
      <c r="E72" s="150">
        <v>2601504</v>
      </c>
      <c r="F72" s="150">
        <v>2601504</v>
      </c>
      <c r="G72" s="131">
        <f t="shared" si="9"/>
        <v>100</v>
      </c>
      <c r="H72" s="139" t="s">
        <v>322</v>
      </c>
      <c r="I72" s="150" t="s">
        <v>322</v>
      </c>
      <c r="J72" s="150" t="s">
        <v>322</v>
      </c>
      <c r="K72" s="140" t="s">
        <v>322</v>
      </c>
    </row>
    <row r="73" spans="1:11" s="145" customFormat="1" ht="24.75" customHeight="1" thickBot="1" x14ac:dyDescent="0.25">
      <c r="A73" s="32"/>
      <c r="B73" s="25" t="s">
        <v>38</v>
      </c>
      <c r="C73" s="26" t="s">
        <v>20</v>
      </c>
      <c r="D73" s="141">
        <f>SUM(D71:D72)</f>
        <v>257664527</v>
      </c>
      <c r="E73" s="141">
        <f t="shared" ref="E73:F73" si="11">SUM(E71:E72)</f>
        <v>260372291</v>
      </c>
      <c r="F73" s="141">
        <f t="shared" si="11"/>
        <v>121266374</v>
      </c>
      <c r="G73" s="142">
        <f>F73/E73*100</f>
        <v>46.574223982996713</v>
      </c>
      <c r="H73" s="141">
        <f>SUM(H71:H72)</f>
        <v>257664527</v>
      </c>
      <c r="I73" s="141">
        <f t="shared" ref="I73" si="12">SUM(I71:I72)</f>
        <v>260372291</v>
      </c>
      <c r="J73" s="141">
        <f t="shared" ref="J73" si="13">SUM(J71:J72)</f>
        <v>126005918</v>
      </c>
      <c r="K73" s="144">
        <f>(J73/I73)*100</f>
        <v>48.394519061938126</v>
      </c>
    </row>
    <row r="74" spans="1:11" ht="12.75" thickBot="1" x14ac:dyDescent="0.25"/>
    <row r="75" spans="1:11" s="160" customFormat="1" ht="24.75" customHeight="1" thickBot="1" x14ac:dyDescent="0.25">
      <c r="A75" s="34"/>
      <c r="B75" s="155"/>
      <c r="C75" s="156" t="s">
        <v>398</v>
      </c>
      <c r="D75" s="157">
        <f>D69+D62+D50+D73+D45</f>
        <v>2770522493</v>
      </c>
      <c r="E75" s="157">
        <f>E69+E62+E50+E73+E45</f>
        <v>3041244070</v>
      </c>
      <c r="F75" s="157">
        <f>F69+F62+F50+F73+F45</f>
        <v>1362559088</v>
      </c>
      <c r="G75" s="158">
        <f>F75/E75*100</f>
        <v>44.802687868455095</v>
      </c>
      <c r="H75" s="157">
        <f>H69+H62+H50+H73+H45</f>
        <v>2770522493</v>
      </c>
      <c r="I75" s="157">
        <f>I69+I62+I50+I73+I45</f>
        <v>3041244070</v>
      </c>
      <c r="J75" s="157">
        <f>J69+J62+J50+J73+J45</f>
        <v>1078058231</v>
      </c>
      <c r="K75" s="159">
        <f>(J75/I75)*100</f>
        <v>35.447935324704147</v>
      </c>
    </row>
  </sheetData>
  <mergeCells count="24">
    <mergeCell ref="C2:K2"/>
    <mergeCell ref="B51:E51"/>
    <mergeCell ref="B63:E63"/>
    <mergeCell ref="B46:E46"/>
    <mergeCell ref="F51:I51"/>
    <mergeCell ref="J51:K51"/>
    <mergeCell ref="F46:I46"/>
    <mergeCell ref="J46:K46"/>
    <mergeCell ref="B4:B5"/>
    <mergeCell ref="C4:C5"/>
    <mergeCell ref="D4:G4"/>
    <mergeCell ref="B29:B31"/>
    <mergeCell ref="H4:K4"/>
    <mergeCell ref="B7:E7"/>
    <mergeCell ref="B6:E6"/>
    <mergeCell ref="F6:I6"/>
    <mergeCell ref="J6:K6"/>
    <mergeCell ref="F63:I63"/>
    <mergeCell ref="J63:K63"/>
    <mergeCell ref="B70:E70"/>
    <mergeCell ref="F70:I70"/>
    <mergeCell ref="J70:K70"/>
    <mergeCell ref="F7:I7"/>
    <mergeCell ref="J7:K7"/>
  </mergeCells>
  <phoneticPr fontId="0" type="noConversion"/>
  <printOptions horizontalCentered="1"/>
  <pageMargins left="0.19685039370078741" right="0.19685039370078741" top="0.98425196850393704" bottom="0.98425196850393704" header="0.51181102362204722" footer="0"/>
  <pageSetup paperSize="9" scale="75" orientation="landscape" r:id="rId1"/>
  <headerFooter scaleWithDoc="0" alignWithMargins="0"/>
  <rowBreaks count="2" manualBreakCount="2">
    <brk id="28" max="16383" man="1"/>
    <brk id="50" min="1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J106"/>
  <sheetViews>
    <sheetView topLeftCell="A64" zoomScaleNormal="100" workbookViewId="0">
      <selection activeCell="M19" sqref="M19"/>
    </sheetView>
  </sheetViews>
  <sheetFormatPr defaultColWidth="8.85546875" defaultRowHeight="15" x14ac:dyDescent="0.2"/>
  <cols>
    <col min="1" max="1" width="4.140625" style="19" bestFit="1" customWidth="1"/>
    <col min="2" max="2" width="2.42578125" style="9" customWidth="1"/>
    <col min="3" max="3" width="117.85546875" style="9" customWidth="1"/>
    <col min="4" max="5" width="16.5703125" style="9" bestFit="1" customWidth="1"/>
    <col min="6" max="7" width="15" style="9" customWidth="1"/>
    <col min="8" max="8" width="15.42578125" style="9" bestFit="1" customWidth="1"/>
    <col min="9" max="257" width="8.85546875" style="9"/>
    <col min="258" max="258" width="4.140625" style="9" bestFit="1" customWidth="1"/>
    <col min="259" max="259" width="2.42578125" style="9" customWidth="1"/>
    <col min="260" max="260" width="117.85546875" style="9" customWidth="1"/>
    <col min="261" max="261" width="20.28515625" style="9" customWidth="1"/>
    <col min="262" max="263" width="8.85546875" style="9"/>
    <col min="264" max="264" width="11" style="9" bestFit="1" customWidth="1"/>
    <col min="265" max="513" width="8.85546875" style="9"/>
    <col min="514" max="514" width="4.140625" style="9" bestFit="1" customWidth="1"/>
    <col min="515" max="515" width="2.42578125" style="9" customWidth="1"/>
    <col min="516" max="516" width="117.85546875" style="9" customWidth="1"/>
    <col min="517" max="517" width="20.28515625" style="9" customWidth="1"/>
    <col min="518" max="519" width="8.85546875" style="9"/>
    <col min="520" max="520" width="11" style="9" bestFit="1" customWidth="1"/>
    <col min="521" max="769" width="8.85546875" style="9"/>
    <col min="770" max="770" width="4.140625" style="9" bestFit="1" customWidth="1"/>
    <col min="771" max="771" width="2.42578125" style="9" customWidth="1"/>
    <col min="772" max="772" width="117.85546875" style="9" customWidth="1"/>
    <col min="773" max="773" width="20.28515625" style="9" customWidth="1"/>
    <col min="774" max="775" width="8.85546875" style="9"/>
    <col min="776" max="776" width="11" style="9" bestFit="1" customWidth="1"/>
    <col min="777" max="1025" width="8.85546875" style="9"/>
    <col min="1026" max="1026" width="4.140625" style="9" bestFit="1" customWidth="1"/>
    <col min="1027" max="1027" width="2.42578125" style="9" customWidth="1"/>
    <col min="1028" max="1028" width="117.85546875" style="9" customWidth="1"/>
    <col min="1029" max="1029" width="20.28515625" style="9" customWidth="1"/>
    <col min="1030" max="1031" width="8.85546875" style="9"/>
    <col min="1032" max="1032" width="11" style="9" bestFit="1" customWidth="1"/>
    <col min="1033" max="1281" width="8.85546875" style="9"/>
    <col min="1282" max="1282" width="4.140625" style="9" bestFit="1" customWidth="1"/>
    <col min="1283" max="1283" width="2.42578125" style="9" customWidth="1"/>
    <col min="1284" max="1284" width="117.85546875" style="9" customWidth="1"/>
    <col min="1285" max="1285" width="20.28515625" style="9" customWidth="1"/>
    <col min="1286" max="1287" width="8.85546875" style="9"/>
    <col min="1288" max="1288" width="11" style="9" bestFit="1" customWidth="1"/>
    <col min="1289" max="1537" width="8.85546875" style="9"/>
    <col min="1538" max="1538" width="4.140625" style="9" bestFit="1" customWidth="1"/>
    <col min="1539" max="1539" width="2.42578125" style="9" customWidth="1"/>
    <col min="1540" max="1540" width="117.85546875" style="9" customWidth="1"/>
    <col min="1541" max="1541" width="20.28515625" style="9" customWidth="1"/>
    <col min="1542" max="1543" width="8.85546875" style="9"/>
    <col min="1544" max="1544" width="11" style="9" bestFit="1" customWidth="1"/>
    <col min="1545" max="1793" width="8.85546875" style="9"/>
    <col min="1794" max="1794" width="4.140625" style="9" bestFit="1" customWidth="1"/>
    <col min="1795" max="1795" width="2.42578125" style="9" customWidth="1"/>
    <col min="1796" max="1796" width="117.85546875" style="9" customWidth="1"/>
    <col min="1797" max="1797" width="20.28515625" style="9" customWidth="1"/>
    <col min="1798" max="1799" width="8.85546875" style="9"/>
    <col min="1800" max="1800" width="11" style="9" bestFit="1" customWidth="1"/>
    <col min="1801" max="2049" width="8.85546875" style="9"/>
    <col min="2050" max="2050" width="4.140625" style="9" bestFit="1" customWidth="1"/>
    <col min="2051" max="2051" width="2.42578125" style="9" customWidth="1"/>
    <col min="2052" max="2052" width="117.85546875" style="9" customWidth="1"/>
    <col min="2053" max="2053" width="20.28515625" style="9" customWidth="1"/>
    <col min="2054" max="2055" width="8.85546875" style="9"/>
    <col min="2056" max="2056" width="11" style="9" bestFit="1" customWidth="1"/>
    <col min="2057" max="2305" width="8.85546875" style="9"/>
    <col min="2306" max="2306" width="4.140625" style="9" bestFit="1" customWidth="1"/>
    <col min="2307" max="2307" width="2.42578125" style="9" customWidth="1"/>
    <col min="2308" max="2308" width="117.85546875" style="9" customWidth="1"/>
    <col min="2309" max="2309" width="20.28515625" style="9" customWidth="1"/>
    <col min="2310" max="2311" width="8.85546875" style="9"/>
    <col min="2312" max="2312" width="11" style="9" bestFit="1" customWidth="1"/>
    <col min="2313" max="2561" width="8.85546875" style="9"/>
    <col min="2562" max="2562" width="4.140625" style="9" bestFit="1" customWidth="1"/>
    <col min="2563" max="2563" width="2.42578125" style="9" customWidth="1"/>
    <col min="2564" max="2564" width="117.85546875" style="9" customWidth="1"/>
    <col min="2565" max="2565" width="20.28515625" style="9" customWidth="1"/>
    <col min="2566" max="2567" width="8.85546875" style="9"/>
    <col min="2568" max="2568" width="11" style="9" bestFit="1" customWidth="1"/>
    <col min="2569" max="2817" width="8.85546875" style="9"/>
    <col min="2818" max="2818" width="4.140625" style="9" bestFit="1" customWidth="1"/>
    <col min="2819" max="2819" width="2.42578125" style="9" customWidth="1"/>
    <col min="2820" max="2820" width="117.85546875" style="9" customWidth="1"/>
    <col min="2821" max="2821" width="20.28515625" style="9" customWidth="1"/>
    <col min="2822" max="2823" width="8.85546875" style="9"/>
    <col min="2824" max="2824" width="11" style="9" bestFit="1" customWidth="1"/>
    <col min="2825" max="3073" width="8.85546875" style="9"/>
    <col min="3074" max="3074" width="4.140625" style="9" bestFit="1" customWidth="1"/>
    <col min="3075" max="3075" width="2.42578125" style="9" customWidth="1"/>
    <col min="3076" max="3076" width="117.85546875" style="9" customWidth="1"/>
    <col min="3077" max="3077" width="20.28515625" style="9" customWidth="1"/>
    <col min="3078" max="3079" width="8.85546875" style="9"/>
    <col min="3080" max="3080" width="11" style="9" bestFit="1" customWidth="1"/>
    <col min="3081" max="3329" width="8.85546875" style="9"/>
    <col min="3330" max="3330" width="4.140625" style="9" bestFit="1" customWidth="1"/>
    <col min="3331" max="3331" width="2.42578125" style="9" customWidth="1"/>
    <col min="3332" max="3332" width="117.85546875" style="9" customWidth="1"/>
    <col min="3333" max="3333" width="20.28515625" style="9" customWidth="1"/>
    <col min="3334" max="3335" width="8.85546875" style="9"/>
    <col min="3336" max="3336" width="11" style="9" bestFit="1" customWidth="1"/>
    <col min="3337" max="3585" width="8.85546875" style="9"/>
    <col min="3586" max="3586" width="4.140625" style="9" bestFit="1" customWidth="1"/>
    <col min="3587" max="3587" width="2.42578125" style="9" customWidth="1"/>
    <col min="3588" max="3588" width="117.85546875" style="9" customWidth="1"/>
    <col min="3589" max="3589" width="20.28515625" style="9" customWidth="1"/>
    <col min="3590" max="3591" width="8.85546875" style="9"/>
    <col min="3592" max="3592" width="11" style="9" bestFit="1" customWidth="1"/>
    <col min="3593" max="3841" width="8.85546875" style="9"/>
    <col min="3842" max="3842" width="4.140625" style="9" bestFit="1" customWidth="1"/>
    <col min="3843" max="3843" width="2.42578125" style="9" customWidth="1"/>
    <col min="3844" max="3844" width="117.85546875" style="9" customWidth="1"/>
    <col min="3845" max="3845" width="20.28515625" style="9" customWidth="1"/>
    <col min="3846" max="3847" width="8.85546875" style="9"/>
    <col min="3848" max="3848" width="11" style="9" bestFit="1" customWidth="1"/>
    <col min="3849" max="4097" width="8.85546875" style="9"/>
    <col min="4098" max="4098" width="4.140625" style="9" bestFit="1" customWidth="1"/>
    <col min="4099" max="4099" width="2.42578125" style="9" customWidth="1"/>
    <col min="4100" max="4100" width="117.85546875" style="9" customWidth="1"/>
    <col min="4101" max="4101" width="20.28515625" style="9" customWidth="1"/>
    <col min="4102" max="4103" width="8.85546875" style="9"/>
    <col min="4104" max="4104" width="11" style="9" bestFit="1" customWidth="1"/>
    <col min="4105" max="4353" width="8.85546875" style="9"/>
    <col min="4354" max="4354" width="4.140625" style="9" bestFit="1" customWidth="1"/>
    <col min="4355" max="4355" width="2.42578125" style="9" customWidth="1"/>
    <col min="4356" max="4356" width="117.85546875" style="9" customWidth="1"/>
    <col min="4357" max="4357" width="20.28515625" style="9" customWidth="1"/>
    <col min="4358" max="4359" width="8.85546875" style="9"/>
    <col min="4360" max="4360" width="11" style="9" bestFit="1" customWidth="1"/>
    <col min="4361" max="4609" width="8.85546875" style="9"/>
    <col min="4610" max="4610" width="4.140625" style="9" bestFit="1" customWidth="1"/>
    <col min="4611" max="4611" width="2.42578125" style="9" customWidth="1"/>
    <col min="4612" max="4612" width="117.85546875" style="9" customWidth="1"/>
    <col min="4613" max="4613" width="20.28515625" style="9" customWidth="1"/>
    <col min="4614" max="4615" width="8.85546875" style="9"/>
    <col min="4616" max="4616" width="11" style="9" bestFit="1" customWidth="1"/>
    <col min="4617" max="4865" width="8.85546875" style="9"/>
    <col min="4866" max="4866" width="4.140625" style="9" bestFit="1" customWidth="1"/>
    <col min="4867" max="4867" width="2.42578125" style="9" customWidth="1"/>
    <col min="4868" max="4868" width="117.85546875" style="9" customWidth="1"/>
    <col min="4869" max="4869" width="20.28515625" style="9" customWidth="1"/>
    <col min="4870" max="4871" width="8.85546875" style="9"/>
    <col min="4872" max="4872" width="11" style="9" bestFit="1" customWidth="1"/>
    <col min="4873" max="5121" width="8.85546875" style="9"/>
    <col min="5122" max="5122" width="4.140625" style="9" bestFit="1" customWidth="1"/>
    <col min="5123" max="5123" width="2.42578125" style="9" customWidth="1"/>
    <col min="5124" max="5124" width="117.85546875" style="9" customWidth="1"/>
    <col min="5125" max="5125" width="20.28515625" style="9" customWidth="1"/>
    <col min="5126" max="5127" width="8.85546875" style="9"/>
    <col min="5128" max="5128" width="11" style="9" bestFit="1" customWidth="1"/>
    <col min="5129" max="5377" width="8.85546875" style="9"/>
    <col min="5378" max="5378" width="4.140625" style="9" bestFit="1" customWidth="1"/>
    <col min="5379" max="5379" width="2.42578125" style="9" customWidth="1"/>
    <col min="5380" max="5380" width="117.85546875" style="9" customWidth="1"/>
    <col min="5381" max="5381" width="20.28515625" style="9" customWidth="1"/>
    <col min="5382" max="5383" width="8.85546875" style="9"/>
    <col min="5384" max="5384" width="11" style="9" bestFit="1" customWidth="1"/>
    <col min="5385" max="5633" width="8.85546875" style="9"/>
    <col min="5634" max="5634" width="4.140625" style="9" bestFit="1" customWidth="1"/>
    <col min="5635" max="5635" width="2.42578125" style="9" customWidth="1"/>
    <col min="5636" max="5636" width="117.85546875" style="9" customWidth="1"/>
    <col min="5637" max="5637" width="20.28515625" style="9" customWidth="1"/>
    <col min="5638" max="5639" width="8.85546875" style="9"/>
    <col min="5640" max="5640" width="11" style="9" bestFit="1" customWidth="1"/>
    <col min="5641" max="5889" width="8.85546875" style="9"/>
    <col min="5890" max="5890" width="4.140625" style="9" bestFit="1" customWidth="1"/>
    <col min="5891" max="5891" width="2.42578125" style="9" customWidth="1"/>
    <col min="5892" max="5892" width="117.85546875" style="9" customWidth="1"/>
    <col min="5893" max="5893" width="20.28515625" style="9" customWidth="1"/>
    <col min="5894" max="5895" width="8.85546875" style="9"/>
    <col min="5896" max="5896" width="11" style="9" bestFit="1" customWidth="1"/>
    <col min="5897" max="6145" width="8.85546875" style="9"/>
    <col min="6146" max="6146" width="4.140625" style="9" bestFit="1" customWidth="1"/>
    <col min="6147" max="6147" width="2.42578125" style="9" customWidth="1"/>
    <col min="6148" max="6148" width="117.85546875" style="9" customWidth="1"/>
    <col min="6149" max="6149" width="20.28515625" style="9" customWidth="1"/>
    <col min="6150" max="6151" width="8.85546875" style="9"/>
    <col min="6152" max="6152" width="11" style="9" bestFit="1" customWidth="1"/>
    <col min="6153" max="6401" width="8.85546875" style="9"/>
    <col min="6402" max="6402" width="4.140625" style="9" bestFit="1" customWidth="1"/>
    <col min="6403" max="6403" width="2.42578125" style="9" customWidth="1"/>
    <col min="6404" max="6404" width="117.85546875" style="9" customWidth="1"/>
    <col min="6405" max="6405" width="20.28515625" style="9" customWidth="1"/>
    <col min="6406" max="6407" width="8.85546875" style="9"/>
    <col min="6408" max="6408" width="11" style="9" bestFit="1" customWidth="1"/>
    <col min="6409" max="6657" width="8.85546875" style="9"/>
    <col min="6658" max="6658" width="4.140625" style="9" bestFit="1" customWidth="1"/>
    <col min="6659" max="6659" width="2.42578125" style="9" customWidth="1"/>
    <col min="6660" max="6660" width="117.85546875" style="9" customWidth="1"/>
    <col min="6661" max="6661" width="20.28515625" style="9" customWidth="1"/>
    <col min="6662" max="6663" width="8.85546875" style="9"/>
    <col min="6664" max="6664" width="11" style="9" bestFit="1" customWidth="1"/>
    <col min="6665" max="6913" width="8.85546875" style="9"/>
    <col min="6914" max="6914" width="4.140625" style="9" bestFit="1" customWidth="1"/>
    <col min="6915" max="6915" width="2.42578125" style="9" customWidth="1"/>
    <col min="6916" max="6916" width="117.85546875" style="9" customWidth="1"/>
    <col min="6917" max="6917" width="20.28515625" style="9" customWidth="1"/>
    <col min="6918" max="6919" width="8.85546875" style="9"/>
    <col min="6920" max="6920" width="11" style="9" bestFit="1" customWidth="1"/>
    <col min="6921" max="7169" width="8.85546875" style="9"/>
    <col min="7170" max="7170" width="4.140625" style="9" bestFit="1" customWidth="1"/>
    <col min="7171" max="7171" width="2.42578125" style="9" customWidth="1"/>
    <col min="7172" max="7172" width="117.85546875" style="9" customWidth="1"/>
    <col min="7173" max="7173" width="20.28515625" style="9" customWidth="1"/>
    <col min="7174" max="7175" width="8.85546875" style="9"/>
    <col min="7176" max="7176" width="11" style="9" bestFit="1" customWidth="1"/>
    <col min="7177" max="7425" width="8.85546875" style="9"/>
    <col min="7426" max="7426" width="4.140625" style="9" bestFit="1" customWidth="1"/>
    <col min="7427" max="7427" width="2.42578125" style="9" customWidth="1"/>
    <col min="7428" max="7428" width="117.85546875" style="9" customWidth="1"/>
    <col min="7429" max="7429" width="20.28515625" style="9" customWidth="1"/>
    <col min="7430" max="7431" width="8.85546875" style="9"/>
    <col min="7432" max="7432" width="11" style="9" bestFit="1" customWidth="1"/>
    <col min="7433" max="7681" width="8.85546875" style="9"/>
    <col min="7682" max="7682" width="4.140625" style="9" bestFit="1" customWidth="1"/>
    <col min="7683" max="7683" width="2.42578125" style="9" customWidth="1"/>
    <col min="7684" max="7684" width="117.85546875" style="9" customWidth="1"/>
    <col min="7685" max="7685" width="20.28515625" style="9" customWidth="1"/>
    <col min="7686" max="7687" width="8.85546875" style="9"/>
    <col min="7688" max="7688" width="11" style="9" bestFit="1" customWidth="1"/>
    <col min="7689" max="7937" width="8.85546875" style="9"/>
    <col min="7938" max="7938" width="4.140625" style="9" bestFit="1" customWidth="1"/>
    <col min="7939" max="7939" width="2.42578125" style="9" customWidth="1"/>
    <col min="7940" max="7940" width="117.85546875" style="9" customWidth="1"/>
    <col min="7941" max="7941" width="20.28515625" style="9" customWidth="1"/>
    <col min="7942" max="7943" width="8.85546875" style="9"/>
    <col min="7944" max="7944" width="11" style="9" bestFit="1" customWidth="1"/>
    <col min="7945" max="8193" width="8.85546875" style="9"/>
    <col min="8194" max="8194" width="4.140625" style="9" bestFit="1" customWidth="1"/>
    <col min="8195" max="8195" width="2.42578125" style="9" customWidth="1"/>
    <col min="8196" max="8196" width="117.85546875" style="9" customWidth="1"/>
    <col min="8197" max="8197" width="20.28515625" style="9" customWidth="1"/>
    <col min="8198" max="8199" width="8.85546875" style="9"/>
    <col min="8200" max="8200" width="11" style="9" bestFit="1" customWidth="1"/>
    <col min="8201" max="8449" width="8.85546875" style="9"/>
    <col min="8450" max="8450" width="4.140625" style="9" bestFit="1" customWidth="1"/>
    <col min="8451" max="8451" width="2.42578125" style="9" customWidth="1"/>
    <col min="8452" max="8452" width="117.85546875" style="9" customWidth="1"/>
    <col min="8453" max="8453" width="20.28515625" style="9" customWidth="1"/>
    <col min="8454" max="8455" width="8.85546875" style="9"/>
    <col min="8456" max="8456" width="11" style="9" bestFit="1" customWidth="1"/>
    <col min="8457" max="8705" width="8.85546875" style="9"/>
    <col min="8706" max="8706" width="4.140625" style="9" bestFit="1" customWidth="1"/>
    <col min="8707" max="8707" width="2.42578125" style="9" customWidth="1"/>
    <col min="8708" max="8708" width="117.85546875" style="9" customWidth="1"/>
    <col min="8709" max="8709" width="20.28515625" style="9" customWidth="1"/>
    <col min="8710" max="8711" width="8.85546875" style="9"/>
    <col min="8712" max="8712" width="11" style="9" bestFit="1" customWidth="1"/>
    <col min="8713" max="8961" width="8.85546875" style="9"/>
    <col min="8962" max="8962" width="4.140625" style="9" bestFit="1" customWidth="1"/>
    <col min="8963" max="8963" width="2.42578125" style="9" customWidth="1"/>
    <col min="8964" max="8964" width="117.85546875" style="9" customWidth="1"/>
    <col min="8965" max="8965" width="20.28515625" style="9" customWidth="1"/>
    <col min="8966" max="8967" width="8.85546875" style="9"/>
    <col min="8968" max="8968" width="11" style="9" bestFit="1" customWidth="1"/>
    <col min="8969" max="9217" width="8.85546875" style="9"/>
    <col min="9218" max="9218" width="4.140625" style="9" bestFit="1" customWidth="1"/>
    <col min="9219" max="9219" width="2.42578125" style="9" customWidth="1"/>
    <col min="9220" max="9220" width="117.85546875" style="9" customWidth="1"/>
    <col min="9221" max="9221" width="20.28515625" style="9" customWidth="1"/>
    <col min="9222" max="9223" width="8.85546875" style="9"/>
    <col min="9224" max="9224" width="11" style="9" bestFit="1" customWidth="1"/>
    <col min="9225" max="9473" width="8.85546875" style="9"/>
    <col min="9474" max="9474" width="4.140625" style="9" bestFit="1" customWidth="1"/>
    <col min="9475" max="9475" width="2.42578125" style="9" customWidth="1"/>
    <col min="9476" max="9476" width="117.85546875" style="9" customWidth="1"/>
    <col min="9477" max="9477" width="20.28515625" style="9" customWidth="1"/>
    <col min="9478" max="9479" width="8.85546875" style="9"/>
    <col min="9480" max="9480" width="11" style="9" bestFit="1" customWidth="1"/>
    <col min="9481" max="9729" width="8.85546875" style="9"/>
    <col min="9730" max="9730" width="4.140625" style="9" bestFit="1" customWidth="1"/>
    <col min="9731" max="9731" width="2.42578125" style="9" customWidth="1"/>
    <col min="9732" max="9732" width="117.85546875" style="9" customWidth="1"/>
    <col min="9733" max="9733" width="20.28515625" style="9" customWidth="1"/>
    <col min="9734" max="9735" width="8.85546875" style="9"/>
    <col min="9736" max="9736" width="11" style="9" bestFit="1" customWidth="1"/>
    <col min="9737" max="9985" width="8.85546875" style="9"/>
    <col min="9986" max="9986" width="4.140625" style="9" bestFit="1" customWidth="1"/>
    <col min="9987" max="9987" width="2.42578125" style="9" customWidth="1"/>
    <col min="9988" max="9988" width="117.85546875" style="9" customWidth="1"/>
    <col min="9989" max="9989" width="20.28515625" style="9" customWidth="1"/>
    <col min="9990" max="9991" width="8.85546875" style="9"/>
    <col min="9992" max="9992" width="11" style="9" bestFit="1" customWidth="1"/>
    <col min="9993" max="10241" width="8.85546875" style="9"/>
    <col min="10242" max="10242" width="4.140625" style="9" bestFit="1" customWidth="1"/>
    <col min="10243" max="10243" width="2.42578125" style="9" customWidth="1"/>
    <col min="10244" max="10244" width="117.85546875" style="9" customWidth="1"/>
    <col min="10245" max="10245" width="20.28515625" style="9" customWidth="1"/>
    <col min="10246" max="10247" width="8.85546875" style="9"/>
    <col min="10248" max="10248" width="11" style="9" bestFit="1" customWidth="1"/>
    <col min="10249" max="10497" width="8.85546875" style="9"/>
    <col min="10498" max="10498" width="4.140625" style="9" bestFit="1" customWidth="1"/>
    <col min="10499" max="10499" width="2.42578125" style="9" customWidth="1"/>
    <col min="10500" max="10500" width="117.85546875" style="9" customWidth="1"/>
    <col min="10501" max="10501" width="20.28515625" style="9" customWidth="1"/>
    <col min="10502" max="10503" width="8.85546875" style="9"/>
    <col min="10504" max="10504" width="11" style="9" bestFit="1" customWidth="1"/>
    <col min="10505" max="10753" width="8.85546875" style="9"/>
    <col min="10754" max="10754" width="4.140625" style="9" bestFit="1" customWidth="1"/>
    <col min="10755" max="10755" width="2.42578125" style="9" customWidth="1"/>
    <col min="10756" max="10756" width="117.85546875" style="9" customWidth="1"/>
    <col min="10757" max="10757" width="20.28515625" style="9" customWidth="1"/>
    <col min="10758" max="10759" width="8.85546875" style="9"/>
    <col min="10760" max="10760" width="11" style="9" bestFit="1" customWidth="1"/>
    <col min="10761" max="11009" width="8.85546875" style="9"/>
    <col min="11010" max="11010" width="4.140625" style="9" bestFit="1" customWidth="1"/>
    <col min="11011" max="11011" width="2.42578125" style="9" customWidth="1"/>
    <col min="11012" max="11012" width="117.85546875" style="9" customWidth="1"/>
    <col min="11013" max="11013" width="20.28515625" style="9" customWidth="1"/>
    <col min="11014" max="11015" width="8.85546875" style="9"/>
    <col min="11016" max="11016" width="11" style="9" bestFit="1" customWidth="1"/>
    <col min="11017" max="11265" width="8.85546875" style="9"/>
    <col min="11266" max="11266" width="4.140625" style="9" bestFit="1" customWidth="1"/>
    <col min="11267" max="11267" width="2.42578125" style="9" customWidth="1"/>
    <col min="11268" max="11268" width="117.85546875" style="9" customWidth="1"/>
    <col min="11269" max="11269" width="20.28515625" style="9" customWidth="1"/>
    <col min="11270" max="11271" width="8.85546875" style="9"/>
    <col min="11272" max="11272" width="11" style="9" bestFit="1" customWidth="1"/>
    <col min="11273" max="11521" width="8.85546875" style="9"/>
    <col min="11522" max="11522" width="4.140625" style="9" bestFit="1" customWidth="1"/>
    <col min="11523" max="11523" width="2.42578125" style="9" customWidth="1"/>
    <col min="11524" max="11524" width="117.85546875" style="9" customWidth="1"/>
    <col min="11525" max="11525" width="20.28515625" style="9" customWidth="1"/>
    <col min="11526" max="11527" width="8.85546875" style="9"/>
    <col min="11528" max="11528" width="11" style="9" bestFit="1" customWidth="1"/>
    <col min="11529" max="11777" width="8.85546875" style="9"/>
    <col min="11778" max="11778" width="4.140625" style="9" bestFit="1" customWidth="1"/>
    <col min="11779" max="11779" width="2.42578125" style="9" customWidth="1"/>
    <col min="11780" max="11780" width="117.85546875" style="9" customWidth="1"/>
    <col min="11781" max="11781" width="20.28515625" style="9" customWidth="1"/>
    <col min="11782" max="11783" width="8.85546875" style="9"/>
    <col min="11784" max="11784" width="11" style="9" bestFit="1" customWidth="1"/>
    <col min="11785" max="12033" width="8.85546875" style="9"/>
    <col min="12034" max="12034" width="4.140625" style="9" bestFit="1" customWidth="1"/>
    <col min="12035" max="12035" width="2.42578125" style="9" customWidth="1"/>
    <col min="12036" max="12036" width="117.85546875" style="9" customWidth="1"/>
    <col min="12037" max="12037" width="20.28515625" style="9" customWidth="1"/>
    <col min="12038" max="12039" width="8.85546875" style="9"/>
    <col min="12040" max="12040" width="11" style="9" bestFit="1" customWidth="1"/>
    <col min="12041" max="12289" width="8.85546875" style="9"/>
    <col min="12290" max="12290" width="4.140625" style="9" bestFit="1" customWidth="1"/>
    <col min="12291" max="12291" width="2.42578125" style="9" customWidth="1"/>
    <col min="12292" max="12292" width="117.85546875" style="9" customWidth="1"/>
    <col min="12293" max="12293" width="20.28515625" style="9" customWidth="1"/>
    <col min="12294" max="12295" width="8.85546875" style="9"/>
    <col min="12296" max="12296" width="11" style="9" bestFit="1" customWidth="1"/>
    <col min="12297" max="12545" width="8.85546875" style="9"/>
    <col min="12546" max="12546" width="4.140625" style="9" bestFit="1" customWidth="1"/>
    <col min="12547" max="12547" width="2.42578125" style="9" customWidth="1"/>
    <col min="12548" max="12548" width="117.85546875" style="9" customWidth="1"/>
    <col min="12549" max="12549" width="20.28515625" style="9" customWidth="1"/>
    <col min="12550" max="12551" width="8.85546875" style="9"/>
    <col min="12552" max="12552" width="11" style="9" bestFit="1" customWidth="1"/>
    <col min="12553" max="12801" width="8.85546875" style="9"/>
    <col min="12802" max="12802" width="4.140625" style="9" bestFit="1" customWidth="1"/>
    <col min="12803" max="12803" width="2.42578125" style="9" customWidth="1"/>
    <col min="12804" max="12804" width="117.85546875" style="9" customWidth="1"/>
    <col min="12805" max="12805" width="20.28515625" style="9" customWidth="1"/>
    <col min="12806" max="12807" width="8.85546875" style="9"/>
    <col min="12808" max="12808" width="11" style="9" bestFit="1" customWidth="1"/>
    <col min="12809" max="13057" width="8.85546875" style="9"/>
    <col min="13058" max="13058" width="4.140625" style="9" bestFit="1" customWidth="1"/>
    <col min="13059" max="13059" width="2.42578125" style="9" customWidth="1"/>
    <col min="13060" max="13060" width="117.85546875" style="9" customWidth="1"/>
    <col min="13061" max="13061" width="20.28515625" style="9" customWidth="1"/>
    <col min="13062" max="13063" width="8.85546875" style="9"/>
    <col min="13064" max="13064" width="11" style="9" bestFit="1" customWidth="1"/>
    <col min="13065" max="13313" width="8.85546875" style="9"/>
    <col min="13314" max="13314" width="4.140625" style="9" bestFit="1" customWidth="1"/>
    <col min="13315" max="13315" width="2.42578125" style="9" customWidth="1"/>
    <col min="13316" max="13316" width="117.85546875" style="9" customWidth="1"/>
    <col min="13317" max="13317" width="20.28515625" style="9" customWidth="1"/>
    <col min="13318" max="13319" width="8.85546875" style="9"/>
    <col min="13320" max="13320" width="11" style="9" bestFit="1" customWidth="1"/>
    <col min="13321" max="13569" width="8.85546875" style="9"/>
    <col min="13570" max="13570" width="4.140625" style="9" bestFit="1" customWidth="1"/>
    <col min="13571" max="13571" width="2.42578125" style="9" customWidth="1"/>
    <col min="13572" max="13572" width="117.85546875" style="9" customWidth="1"/>
    <col min="13573" max="13573" width="20.28515625" style="9" customWidth="1"/>
    <col min="13574" max="13575" width="8.85546875" style="9"/>
    <col min="13576" max="13576" width="11" style="9" bestFit="1" customWidth="1"/>
    <col min="13577" max="13825" width="8.85546875" style="9"/>
    <col min="13826" max="13826" width="4.140625" style="9" bestFit="1" customWidth="1"/>
    <col min="13827" max="13827" width="2.42578125" style="9" customWidth="1"/>
    <col min="13828" max="13828" width="117.85546875" style="9" customWidth="1"/>
    <col min="13829" max="13829" width="20.28515625" style="9" customWidth="1"/>
    <col min="13830" max="13831" width="8.85546875" style="9"/>
    <col min="13832" max="13832" width="11" style="9" bestFit="1" customWidth="1"/>
    <col min="13833" max="14081" width="8.85546875" style="9"/>
    <col min="14082" max="14082" width="4.140625" style="9" bestFit="1" customWidth="1"/>
    <col min="14083" max="14083" width="2.42578125" style="9" customWidth="1"/>
    <col min="14084" max="14084" width="117.85546875" style="9" customWidth="1"/>
    <col min="14085" max="14085" width="20.28515625" style="9" customWidth="1"/>
    <col min="14086" max="14087" width="8.85546875" style="9"/>
    <col min="14088" max="14088" width="11" style="9" bestFit="1" customWidth="1"/>
    <col min="14089" max="14337" width="8.85546875" style="9"/>
    <col min="14338" max="14338" width="4.140625" style="9" bestFit="1" customWidth="1"/>
    <col min="14339" max="14339" width="2.42578125" style="9" customWidth="1"/>
    <col min="14340" max="14340" width="117.85546875" style="9" customWidth="1"/>
    <col min="14341" max="14341" width="20.28515625" style="9" customWidth="1"/>
    <col min="14342" max="14343" width="8.85546875" style="9"/>
    <col min="14344" max="14344" width="11" style="9" bestFit="1" customWidth="1"/>
    <col min="14345" max="14593" width="8.85546875" style="9"/>
    <col min="14594" max="14594" width="4.140625" style="9" bestFit="1" customWidth="1"/>
    <col min="14595" max="14595" width="2.42578125" style="9" customWidth="1"/>
    <col min="14596" max="14596" width="117.85546875" style="9" customWidth="1"/>
    <col min="14597" max="14597" width="20.28515625" style="9" customWidth="1"/>
    <col min="14598" max="14599" width="8.85546875" style="9"/>
    <col min="14600" max="14600" width="11" style="9" bestFit="1" customWidth="1"/>
    <col min="14601" max="14849" width="8.85546875" style="9"/>
    <col min="14850" max="14850" width="4.140625" style="9" bestFit="1" customWidth="1"/>
    <col min="14851" max="14851" width="2.42578125" style="9" customWidth="1"/>
    <col min="14852" max="14852" width="117.85546875" style="9" customWidth="1"/>
    <col min="14853" max="14853" width="20.28515625" style="9" customWidth="1"/>
    <col min="14854" max="14855" width="8.85546875" style="9"/>
    <col min="14856" max="14856" width="11" style="9" bestFit="1" customWidth="1"/>
    <col min="14857" max="15105" width="8.85546875" style="9"/>
    <col min="15106" max="15106" width="4.140625" style="9" bestFit="1" customWidth="1"/>
    <col min="15107" max="15107" width="2.42578125" style="9" customWidth="1"/>
    <col min="15108" max="15108" width="117.85546875" style="9" customWidth="1"/>
    <col min="15109" max="15109" width="20.28515625" style="9" customWidth="1"/>
    <col min="15110" max="15111" width="8.85546875" style="9"/>
    <col min="15112" max="15112" width="11" style="9" bestFit="1" customWidth="1"/>
    <col min="15113" max="15361" width="8.85546875" style="9"/>
    <col min="15362" max="15362" width="4.140625" style="9" bestFit="1" customWidth="1"/>
    <col min="15363" max="15363" width="2.42578125" style="9" customWidth="1"/>
    <col min="15364" max="15364" width="117.85546875" style="9" customWidth="1"/>
    <col min="15365" max="15365" width="20.28515625" style="9" customWidth="1"/>
    <col min="15366" max="15367" width="8.85546875" style="9"/>
    <col min="15368" max="15368" width="11" style="9" bestFit="1" customWidth="1"/>
    <col min="15369" max="15617" width="8.85546875" style="9"/>
    <col min="15618" max="15618" width="4.140625" style="9" bestFit="1" customWidth="1"/>
    <col min="15619" max="15619" width="2.42578125" style="9" customWidth="1"/>
    <col min="15620" max="15620" width="117.85546875" style="9" customWidth="1"/>
    <col min="15621" max="15621" width="20.28515625" style="9" customWidth="1"/>
    <col min="15622" max="15623" width="8.85546875" style="9"/>
    <col min="15624" max="15624" width="11" style="9" bestFit="1" customWidth="1"/>
    <col min="15625" max="15873" width="8.85546875" style="9"/>
    <col min="15874" max="15874" width="4.140625" style="9" bestFit="1" customWidth="1"/>
    <col min="15875" max="15875" width="2.42578125" style="9" customWidth="1"/>
    <col min="15876" max="15876" width="117.85546875" style="9" customWidth="1"/>
    <col min="15877" max="15877" width="20.28515625" style="9" customWidth="1"/>
    <col min="15878" max="15879" width="8.85546875" style="9"/>
    <col min="15880" max="15880" width="11" style="9" bestFit="1" customWidth="1"/>
    <col min="15881" max="16129" width="8.85546875" style="9"/>
    <col min="16130" max="16130" width="4.140625" style="9" bestFit="1" customWidth="1"/>
    <col min="16131" max="16131" width="2.42578125" style="9" customWidth="1"/>
    <col min="16132" max="16132" width="117.85546875" style="9" customWidth="1"/>
    <col min="16133" max="16133" width="20.28515625" style="9" customWidth="1"/>
    <col min="16134" max="16135" width="8.85546875" style="9"/>
    <col min="16136" max="16136" width="11" style="9" bestFit="1" customWidth="1"/>
    <col min="16137" max="16384" width="8.85546875" style="9"/>
  </cols>
  <sheetData>
    <row r="1" spans="1:10" x14ac:dyDescent="0.2">
      <c r="C1" s="359" t="s">
        <v>80</v>
      </c>
      <c r="D1" s="359"/>
      <c r="E1" s="359"/>
      <c r="F1" s="359"/>
      <c r="G1" s="359"/>
      <c r="H1" s="225"/>
      <c r="I1"/>
      <c r="J1" s="31"/>
    </row>
    <row r="2" spans="1:10" x14ac:dyDescent="0.2">
      <c r="B2" s="370" t="s">
        <v>454</v>
      </c>
      <c r="C2" s="370"/>
      <c r="D2" s="370"/>
      <c r="E2" s="370"/>
      <c r="F2" s="370"/>
      <c r="G2" s="370"/>
      <c r="H2" s="370"/>
      <c r="J2" s="31"/>
    </row>
    <row r="3" spans="1:10" ht="6" customHeight="1" x14ac:dyDescent="0.2">
      <c r="B3" s="370"/>
      <c r="C3" s="370"/>
      <c r="D3" s="370"/>
      <c r="E3" s="370"/>
      <c r="F3" s="370"/>
      <c r="G3" s="370"/>
      <c r="H3" s="370"/>
      <c r="J3" s="31"/>
    </row>
    <row r="4" spans="1:10" ht="15.75" thickBot="1" x14ac:dyDescent="0.25">
      <c r="G4" s="166" t="s">
        <v>338</v>
      </c>
      <c r="J4" s="31"/>
    </row>
    <row r="5" spans="1:10" x14ac:dyDescent="0.2">
      <c r="A5" s="353" t="s">
        <v>50</v>
      </c>
      <c r="B5" s="371" t="s">
        <v>1</v>
      </c>
      <c r="C5" s="372"/>
      <c r="D5" s="373" t="s">
        <v>21</v>
      </c>
      <c r="E5" s="374"/>
      <c r="F5" s="375" t="s">
        <v>4</v>
      </c>
      <c r="G5" s="376" t="s">
        <v>81</v>
      </c>
      <c r="H5" s="166"/>
      <c r="J5" s="31"/>
    </row>
    <row r="6" spans="1:10" s="10" customFormat="1" ht="14.25" x14ac:dyDescent="0.2">
      <c r="A6" s="354"/>
      <c r="B6" s="291"/>
      <c r="C6" s="292"/>
      <c r="D6" s="2" t="s">
        <v>22</v>
      </c>
      <c r="E6" s="21" t="s">
        <v>23</v>
      </c>
      <c r="F6" s="297"/>
      <c r="G6" s="377"/>
    </row>
    <row r="7" spans="1:10" s="170" customFormat="1" ht="12" x14ac:dyDescent="0.2">
      <c r="A7" s="355"/>
      <c r="B7" s="378" t="s">
        <v>323</v>
      </c>
      <c r="C7" s="378"/>
      <c r="D7" s="179" t="s">
        <v>416</v>
      </c>
      <c r="E7" s="179" t="s">
        <v>426</v>
      </c>
      <c r="F7" s="179" t="s">
        <v>427</v>
      </c>
      <c r="G7" s="169" t="s">
        <v>428</v>
      </c>
    </row>
    <row r="8" spans="1:10" s="10" customFormat="1" ht="14.25" x14ac:dyDescent="0.2">
      <c r="A8" s="18">
        <v>1</v>
      </c>
      <c r="B8" s="356" t="s">
        <v>32</v>
      </c>
      <c r="C8" s="357"/>
      <c r="D8" s="357"/>
      <c r="E8" s="357"/>
      <c r="F8" s="357"/>
      <c r="G8" s="358"/>
    </row>
    <row r="9" spans="1:10" s="11" customFormat="1" x14ac:dyDescent="0.2">
      <c r="A9" s="18">
        <v>2</v>
      </c>
      <c r="B9" s="364" t="s">
        <v>51</v>
      </c>
      <c r="C9" s="365"/>
      <c r="D9" s="365"/>
      <c r="E9" s="365"/>
      <c r="F9" s="365"/>
      <c r="G9" s="366"/>
    </row>
    <row r="10" spans="1:10" s="227" customFormat="1" x14ac:dyDescent="0.2">
      <c r="A10" s="18">
        <v>3</v>
      </c>
      <c r="B10" s="226" t="s">
        <v>33</v>
      </c>
      <c r="C10" s="206" t="s">
        <v>455</v>
      </c>
      <c r="D10" s="209">
        <v>5735000</v>
      </c>
      <c r="E10" s="209">
        <v>5735000</v>
      </c>
      <c r="F10" s="209">
        <v>5685455</v>
      </c>
      <c r="G10" s="280">
        <f>F10/E10</f>
        <v>0.99136094158674803</v>
      </c>
    </row>
    <row r="11" spans="1:10" s="227" customFormat="1" x14ac:dyDescent="0.2">
      <c r="A11" s="18">
        <v>4</v>
      </c>
      <c r="B11" s="226" t="s">
        <v>33</v>
      </c>
      <c r="C11" s="206" t="s">
        <v>456</v>
      </c>
      <c r="D11" s="208">
        <v>460000</v>
      </c>
      <c r="E11" s="208">
        <v>460000</v>
      </c>
      <c r="F11" s="208">
        <v>0</v>
      </c>
      <c r="G11" s="280">
        <f t="shared" ref="G11:G50" si="0">F11/E11</f>
        <v>0</v>
      </c>
    </row>
    <row r="12" spans="1:10" s="227" customFormat="1" x14ac:dyDescent="0.2">
      <c r="A12" s="18">
        <v>5</v>
      </c>
      <c r="B12" s="226" t="s">
        <v>33</v>
      </c>
      <c r="C12" s="206" t="s">
        <v>457</v>
      </c>
      <c r="D12" s="208">
        <v>1185000</v>
      </c>
      <c r="E12" s="208">
        <v>1185000</v>
      </c>
      <c r="F12" s="208">
        <v>0</v>
      </c>
      <c r="G12" s="280">
        <f t="shared" si="0"/>
        <v>0</v>
      </c>
    </row>
    <row r="13" spans="1:10" s="227" customFormat="1" x14ac:dyDescent="0.2">
      <c r="A13" s="18">
        <v>6</v>
      </c>
      <c r="B13" s="226" t="s">
        <v>33</v>
      </c>
      <c r="C13" s="206" t="s">
        <v>417</v>
      </c>
      <c r="D13" s="208">
        <v>600000</v>
      </c>
      <c r="E13" s="208">
        <v>600000</v>
      </c>
      <c r="F13" s="262">
        <v>450000</v>
      </c>
      <c r="G13" s="280">
        <f t="shared" si="0"/>
        <v>0.75</v>
      </c>
    </row>
    <row r="14" spans="1:10" s="227" customFormat="1" x14ac:dyDescent="0.2">
      <c r="A14" s="18">
        <v>7</v>
      </c>
      <c r="B14" s="226" t="s">
        <v>33</v>
      </c>
      <c r="C14" s="206" t="s">
        <v>441</v>
      </c>
      <c r="D14" s="208">
        <v>635081129</v>
      </c>
      <c r="E14" s="208">
        <v>635081129</v>
      </c>
      <c r="F14" s="262">
        <v>5054600</v>
      </c>
      <c r="G14" s="280">
        <f t="shared" si="0"/>
        <v>7.9589831427663155E-3</v>
      </c>
    </row>
    <row r="15" spans="1:10" s="227" customFormat="1" ht="18" customHeight="1" x14ac:dyDescent="0.2">
      <c r="A15" s="18">
        <v>8</v>
      </c>
      <c r="B15" s="226" t="s">
        <v>33</v>
      </c>
      <c r="C15" s="206" t="s">
        <v>458</v>
      </c>
      <c r="D15" s="208">
        <v>18413207</v>
      </c>
      <c r="E15" s="208">
        <v>18413207</v>
      </c>
      <c r="F15" s="262">
        <v>0</v>
      </c>
      <c r="G15" s="280">
        <f t="shared" si="0"/>
        <v>0</v>
      </c>
    </row>
    <row r="16" spans="1:10" s="227" customFormat="1" x14ac:dyDescent="0.2">
      <c r="A16" s="18">
        <v>9</v>
      </c>
      <c r="B16" s="226" t="s">
        <v>33</v>
      </c>
      <c r="C16" s="206" t="s">
        <v>440</v>
      </c>
      <c r="D16" s="208">
        <v>53058812</v>
      </c>
      <c r="E16" s="208">
        <f>53058812-4307267</f>
        <v>48751545</v>
      </c>
      <c r="F16" s="262">
        <v>17119449</v>
      </c>
      <c r="G16" s="280">
        <f t="shared" si="0"/>
        <v>0.35115705563792904</v>
      </c>
    </row>
    <row r="17" spans="1:7" s="227" customFormat="1" x14ac:dyDescent="0.2">
      <c r="A17" s="18">
        <v>10</v>
      </c>
      <c r="B17" s="226" t="s">
        <v>33</v>
      </c>
      <c r="C17" s="206" t="s">
        <v>442</v>
      </c>
      <c r="D17" s="208">
        <v>77285728</v>
      </c>
      <c r="E17" s="208">
        <v>77285728</v>
      </c>
      <c r="F17" s="262">
        <v>4127500</v>
      </c>
      <c r="G17" s="280">
        <f t="shared" si="0"/>
        <v>5.3405720652589313E-2</v>
      </c>
    </row>
    <row r="18" spans="1:7" s="227" customFormat="1" x14ac:dyDescent="0.2">
      <c r="A18" s="18">
        <v>11</v>
      </c>
      <c r="B18" s="226" t="s">
        <v>33</v>
      </c>
      <c r="C18" s="206" t="s">
        <v>443</v>
      </c>
      <c r="D18" s="208">
        <v>200000</v>
      </c>
      <c r="E18" s="208">
        <v>200000</v>
      </c>
      <c r="F18" s="262">
        <v>0</v>
      </c>
      <c r="G18" s="280">
        <f t="shared" si="0"/>
        <v>0</v>
      </c>
    </row>
    <row r="19" spans="1:7" s="227" customFormat="1" x14ac:dyDescent="0.2">
      <c r="A19" s="18">
        <v>12</v>
      </c>
      <c r="B19" s="226" t="s">
        <v>33</v>
      </c>
      <c r="C19" s="206" t="s">
        <v>459</v>
      </c>
      <c r="D19" s="208">
        <v>300000</v>
      </c>
      <c r="E19" s="208">
        <v>300000</v>
      </c>
      <c r="F19" s="262">
        <v>0</v>
      </c>
      <c r="G19" s="280">
        <f t="shared" si="0"/>
        <v>0</v>
      </c>
    </row>
    <row r="20" spans="1:7" s="227" customFormat="1" x14ac:dyDescent="0.2">
      <c r="A20" s="18">
        <v>13</v>
      </c>
      <c r="B20" s="226" t="s">
        <v>33</v>
      </c>
      <c r="C20" s="206" t="s">
        <v>487</v>
      </c>
      <c r="D20" s="208">
        <v>0</v>
      </c>
      <c r="E20" s="208">
        <v>0</v>
      </c>
      <c r="F20" s="262">
        <f>67238+2006600</f>
        <v>2073838</v>
      </c>
      <c r="G20" s="280"/>
    </row>
    <row r="21" spans="1:7" s="228" customFormat="1" x14ac:dyDescent="0.2">
      <c r="A21" s="18">
        <v>14</v>
      </c>
      <c r="B21" s="226" t="s">
        <v>33</v>
      </c>
      <c r="C21" s="206" t="s">
        <v>460</v>
      </c>
      <c r="D21" s="208">
        <v>300000</v>
      </c>
      <c r="E21" s="208">
        <v>300000</v>
      </c>
      <c r="F21" s="262">
        <v>300000</v>
      </c>
      <c r="G21" s="280">
        <f t="shared" si="0"/>
        <v>1</v>
      </c>
    </row>
    <row r="22" spans="1:7" s="228" customFormat="1" x14ac:dyDescent="0.2">
      <c r="A22" s="18">
        <v>15</v>
      </c>
      <c r="B22" s="226" t="s">
        <v>33</v>
      </c>
      <c r="C22" s="206" t="s">
        <v>486</v>
      </c>
      <c r="D22" s="208">
        <v>0</v>
      </c>
      <c r="E22" s="208">
        <v>0</v>
      </c>
      <c r="F22" s="262">
        <v>80000</v>
      </c>
      <c r="G22" s="280"/>
    </row>
    <row r="23" spans="1:7" s="227" customFormat="1" x14ac:dyDescent="0.2">
      <c r="A23" s="18">
        <v>16</v>
      </c>
      <c r="B23" s="226" t="s">
        <v>33</v>
      </c>
      <c r="C23" s="206" t="s">
        <v>461</v>
      </c>
      <c r="D23" s="208">
        <v>700000</v>
      </c>
      <c r="E23" s="208">
        <v>700000</v>
      </c>
      <c r="F23" s="262">
        <v>0</v>
      </c>
      <c r="G23" s="280">
        <f t="shared" si="0"/>
        <v>0</v>
      </c>
    </row>
    <row r="24" spans="1:7" s="227" customFormat="1" x14ac:dyDescent="0.2">
      <c r="A24" s="18">
        <v>17</v>
      </c>
      <c r="B24" s="226" t="s">
        <v>33</v>
      </c>
      <c r="C24" s="206" t="s">
        <v>462</v>
      </c>
      <c r="D24" s="208">
        <v>0</v>
      </c>
      <c r="E24" s="208">
        <v>920750</v>
      </c>
      <c r="F24" s="208">
        <v>401389</v>
      </c>
      <c r="G24" s="280">
        <f t="shared" si="0"/>
        <v>0.43593700787401574</v>
      </c>
    </row>
    <row r="25" spans="1:7" s="227" customFormat="1" x14ac:dyDescent="0.2">
      <c r="A25" s="18">
        <v>18</v>
      </c>
      <c r="B25" s="226" t="s">
        <v>33</v>
      </c>
      <c r="C25" s="206" t="s">
        <v>463</v>
      </c>
      <c r="D25" s="208">
        <v>0</v>
      </c>
      <c r="E25" s="208">
        <v>273812</v>
      </c>
      <c r="F25" s="208">
        <v>273812</v>
      </c>
      <c r="G25" s="280">
        <f t="shared" si="0"/>
        <v>1</v>
      </c>
    </row>
    <row r="26" spans="1:7" s="227" customFormat="1" x14ac:dyDescent="0.2">
      <c r="A26" s="18">
        <v>19</v>
      </c>
      <c r="B26" s="226" t="s">
        <v>33</v>
      </c>
      <c r="C26" s="206" t="s">
        <v>464</v>
      </c>
      <c r="D26" s="208">
        <v>0</v>
      </c>
      <c r="E26" s="208">
        <v>500000</v>
      </c>
      <c r="F26" s="208">
        <v>0</v>
      </c>
      <c r="G26" s="280">
        <f t="shared" si="0"/>
        <v>0</v>
      </c>
    </row>
    <row r="27" spans="1:7" s="227" customFormat="1" x14ac:dyDescent="0.2">
      <c r="A27" s="18">
        <v>20</v>
      </c>
      <c r="B27" s="226" t="s">
        <v>33</v>
      </c>
      <c r="C27" s="206" t="s">
        <v>465</v>
      </c>
      <c r="D27" s="208">
        <v>0</v>
      </c>
      <c r="E27" s="208">
        <v>132000</v>
      </c>
      <c r="F27" s="208">
        <v>0</v>
      </c>
      <c r="G27" s="280">
        <f t="shared" si="0"/>
        <v>0</v>
      </c>
    </row>
    <row r="28" spans="1:7" s="227" customFormat="1" x14ac:dyDescent="0.2">
      <c r="A28" s="18">
        <v>21</v>
      </c>
      <c r="B28" s="226" t="s">
        <v>33</v>
      </c>
      <c r="C28" s="206" t="s">
        <v>484</v>
      </c>
      <c r="D28" s="208">
        <v>0</v>
      </c>
      <c r="E28" s="208">
        <v>0</v>
      </c>
      <c r="F28" s="208">
        <v>385708</v>
      </c>
      <c r="G28" s="280"/>
    </row>
    <row r="29" spans="1:7" s="227" customFormat="1" x14ac:dyDescent="0.2">
      <c r="A29" s="18">
        <v>22</v>
      </c>
      <c r="B29" s="226" t="s">
        <v>33</v>
      </c>
      <c r="C29" s="206" t="s">
        <v>466</v>
      </c>
      <c r="D29" s="208">
        <v>0</v>
      </c>
      <c r="E29" s="208">
        <v>3175000</v>
      </c>
      <c r="F29" s="208">
        <v>0</v>
      </c>
      <c r="G29" s="280">
        <f t="shared" si="0"/>
        <v>0</v>
      </c>
    </row>
    <row r="30" spans="1:7" s="227" customFormat="1" x14ac:dyDescent="0.2">
      <c r="A30" s="18">
        <v>23</v>
      </c>
      <c r="B30" s="226" t="s">
        <v>33</v>
      </c>
      <c r="C30" s="206" t="s">
        <v>483</v>
      </c>
      <c r="D30" s="208">
        <v>0</v>
      </c>
      <c r="E30" s="208">
        <v>331597</v>
      </c>
      <c r="F30" s="208">
        <v>331597</v>
      </c>
      <c r="G30" s="280">
        <f t="shared" si="0"/>
        <v>1</v>
      </c>
    </row>
    <row r="31" spans="1:7" s="227" customFormat="1" x14ac:dyDescent="0.2">
      <c r="A31" s="18">
        <v>24</v>
      </c>
      <c r="B31" s="226" t="s">
        <v>33</v>
      </c>
      <c r="C31" s="206" t="s">
        <v>467</v>
      </c>
      <c r="D31" s="208">
        <v>0</v>
      </c>
      <c r="E31" s="208">
        <v>2559909</v>
      </c>
      <c r="F31" s="208">
        <v>0</v>
      </c>
      <c r="G31" s="280">
        <f t="shared" si="0"/>
        <v>0</v>
      </c>
    </row>
    <row r="32" spans="1:7" s="14" customFormat="1" x14ac:dyDescent="0.2">
      <c r="A32" s="18">
        <v>25</v>
      </c>
      <c r="B32" s="360" t="s">
        <v>52</v>
      </c>
      <c r="C32" s="361"/>
      <c r="D32" s="253">
        <f>SUM(D10:D31)</f>
        <v>793318876</v>
      </c>
      <c r="E32" s="253">
        <f>SUM(E10:E31)</f>
        <v>796904677</v>
      </c>
      <c r="F32" s="275">
        <f>SUM(F10:F31)</f>
        <v>36283348</v>
      </c>
      <c r="G32" s="281">
        <f t="shared" si="0"/>
        <v>4.5530348920263648E-2</v>
      </c>
    </row>
    <row r="33" spans="1:7" s="14" customFormat="1" x14ac:dyDescent="0.2">
      <c r="A33" s="18">
        <v>26</v>
      </c>
      <c r="B33" s="364" t="s">
        <v>7</v>
      </c>
      <c r="C33" s="365"/>
      <c r="D33" s="365"/>
      <c r="E33" s="365"/>
      <c r="F33" s="365"/>
      <c r="G33" s="366"/>
    </row>
    <row r="34" spans="1:7" s="14" customFormat="1" x14ac:dyDescent="0.2">
      <c r="A34" s="18">
        <v>27</v>
      </c>
      <c r="B34" s="226" t="s">
        <v>33</v>
      </c>
      <c r="C34" s="206" t="s">
        <v>490</v>
      </c>
      <c r="D34" s="209">
        <v>4500000</v>
      </c>
      <c r="E34" s="209">
        <v>4500000</v>
      </c>
      <c r="F34" s="209">
        <v>53315</v>
      </c>
      <c r="G34" s="280">
        <f t="shared" si="0"/>
        <v>1.1847777777777778E-2</v>
      </c>
    </row>
    <row r="35" spans="1:7" s="227" customFormat="1" x14ac:dyDescent="0.2">
      <c r="A35" s="18">
        <v>28</v>
      </c>
      <c r="B35" s="226" t="s">
        <v>33</v>
      </c>
      <c r="C35" s="206" t="s">
        <v>468</v>
      </c>
      <c r="D35" s="208">
        <v>76200</v>
      </c>
      <c r="E35" s="208">
        <v>76200</v>
      </c>
      <c r="F35" s="208">
        <v>0</v>
      </c>
      <c r="G35" s="280">
        <f t="shared" si="0"/>
        <v>0</v>
      </c>
    </row>
    <row r="36" spans="1:7" s="14" customFormat="1" x14ac:dyDescent="0.2">
      <c r="A36" s="18">
        <v>29</v>
      </c>
      <c r="B36" s="360" t="s">
        <v>78</v>
      </c>
      <c r="C36" s="361"/>
      <c r="D36" s="253">
        <f>SUM(D34:D35)</f>
        <v>4576200</v>
      </c>
      <c r="E36" s="253">
        <f>SUM(E34:E35)</f>
        <v>4576200</v>
      </c>
      <c r="F36" s="275">
        <f>SUM(F34:F35)</f>
        <v>53315</v>
      </c>
      <c r="G36" s="281">
        <f t="shared" si="0"/>
        <v>1.1650496044753289E-2</v>
      </c>
    </row>
    <row r="37" spans="1:7" s="14" customFormat="1" x14ac:dyDescent="0.2">
      <c r="A37" s="18">
        <v>30</v>
      </c>
      <c r="B37" s="364" t="s">
        <v>367</v>
      </c>
      <c r="C37" s="365"/>
      <c r="D37" s="365"/>
      <c r="E37" s="365"/>
      <c r="F37" s="365"/>
      <c r="G37" s="366"/>
    </row>
    <row r="38" spans="1:7" s="227" customFormat="1" x14ac:dyDescent="0.2">
      <c r="A38" s="18">
        <v>31</v>
      </c>
      <c r="B38" s="226" t="s">
        <v>33</v>
      </c>
      <c r="C38" s="206" t="s">
        <v>406</v>
      </c>
      <c r="D38" s="209">
        <v>1433100</v>
      </c>
      <c r="E38" s="209">
        <v>1433100</v>
      </c>
      <c r="F38" s="209">
        <v>621429</v>
      </c>
      <c r="G38" s="280">
        <f t="shared" si="0"/>
        <v>0.43362570651036214</v>
      </c>
    </row>
    <row r="39" spans="1:7" s="227" customFormat="1" x14ac:dyDescent="0.2">
      <c r="A39" s="18">
        <v>32</v>
      </c>
      <c r="B39" s="226" t="s">
        <v>33</v>
      </c>
      <c r="C39" s="206" t="s">
        <v>492</v>
      </c>
      <c r="D39" s="209">
        <v>0</v>
      </c>
      <c r="E39" s="209">
        <v>274010</v>
      </c>
      <c r="F39" s="209">
        <v>271859</v>
      </c>
      <c r="G39" s="280">
        <f t="shared" si="0"/>
        <v>0.99214992153571036</v>
      </c>
    </row>
    <row r="40" spans="1:7" s="14" customFormat="1" x14ac:dyDescent="0.2">
      <c r="A40" s="18">
        <v>33</v>
      </c>
      <c r="B40" s="360" t="s">
        <v>386</v>
      </c>
      <c r="C40" s="361"/>
      <c r="D40" s="253">
        <f>SUM(D38:D39)</f>
        <v>1433100</v>
      </c>
      <c r="E40" s="253">
        <f t="shared" ref="E40:F40" si="1">SUM(E38:E39)</f>
        <v>1707110</v>
      </c>
      <c r="F40" s="253">
        <f t="shared" si="1"/>
        <v>893288</v>
      </c>
      <c r="G40" s="281">
        <f t="shared" si="0"/>
        <v>0.52327500864033372</v>
      </c>
    </row>
    <row r="41" spans="1:7" s="14" customFormat="1" x14ac:dyDescent="0.2">
      <c r="A41" s="18">
        <v>34</v>
      </c>
      <c r="B41" s="364" t="s">
        <v>368</v>
      </c>
      <c r="C41" s="365"/>
      <c r="D41" s="365"/>
      <c r="E41" s="365"/>
      <c r="F41" s="365"/>
      <c r="G41" s="366"/>
    </row>
    <row r="42" spans="1:7" s="227" customFormat="1" ht="30" x14ac:dyDescent="0.2">
      <c r="A42" s="18">
        <v>35</v>
      </c>
      <c r="B42" s="226" t="s">
        <v>33</v>
      </c>
      <c r="C42" s="206" t="s">
        <v>495</v>
      </c>
      <c r="D42" s="261">
        <v>427228</v>
      </c>
      <c r="E42" s="261">
        <f>9880744-7840000-1453516</f>
        <v>587228</v>
      </c>
      <c r="F42" s="261">
        <f>10077059-7840000-726758</f>
        <v>1510301</v>
      </c>
      <c r="G42" s="280">
        <f t="shared" si="0"/>
        <v>2.5719158486993128</v>
      </c>
    </row>
    <row r="43" spans="1:7" s="227" customFormat="1" ht="31.5" customHeight="1" x14ac:dyDescent="0.2">
      <c r="A43" s="18">
        <v>36</v>
      </c>
      <c r="B43" s="226" t="s">
        <v>33</v>
      </c>
      <c r="C43" s="206" t="s">
        <v>444</v>
      </c>
      <c r="D43" s="262">
        <v>508000</v>
      </c>
      <c r="E43" s="262">
        <v>508000</v>
      </c>
      <c r="F43" s="262">
        <v>0</v>
      </c>
      <c r="G43" s="280">
        <f t="shared" si="0"/>
        <v>0</v>
      </c>
    </row>
    <row r="44" spans="1:7" s="227" customFormat="1" ht="30.75" customHeight="1" x14ac:dyDescent="0.2">
      <c r="A44" s="18">
        <v>37</v>
      </c>
      <c r="B44" s="226" t="s">
        <v>33</v>
      </c>
      <c r="C44" s="206" t="s">
        <v>445</v>
      </c>
      <c r="D44" s="262">
        <v>254000</v>
      </c>
      <c r="E44" s="262">
        <v>254000</v>
      </c>
      <c r="F44" s="262">
        <v>0</v>
      </c>
      <c r="G44" s="280">
        <f t="shared" si="0"/>
        <v>0</v>
      </c>
    </row>
    <row r="45" spans="1:7" s="227" customFormat="1" ht="28.5" customHeight="1" x14ac:dyDescent="0.2">
      <c r="A45" s="18">
        <v>38</v>
      </c>
      <c r="B45" s="226" t="s">
        <v>33</v>
      </c>
      <c r="C45" s="206" t="s">
        <v>496</v>
      </c>
      <c r="D45" s="262">
        <v>590500</v>
      </c>
      <c r="E45" s="262">
        <f>2250500-1660000</f>
        <v>590500</v>
      </c>
      <c r="F45" s="262">
        <f>1798673-1660000</f>
        <v>138673</v>
      </c>
      <c r="G45" s="280">
        <f t="shared" si="0"/>
        <v>0.23483996613039798</v>
      </c>
    </row>
    <row r="46" spans="1:7" s="227" customFormat="1" ht="31.5" customHeight="1" x14ac:dyDescent="0.2">
      <c r="A46" s="18">
        <v>39</v>
      </c>
      <c r="B46" s="226" t="s">
        <v>33</v>
      </c>
      <c r="C46" s="206" t="s">
        <v>469</v>
      </c>
      <c r="D46" s="262">
        <v>1256899</v>
      </c>
      <c r="E46" s="262">
        <v>1256899</v>
      </c>
      <c r="F46" s="262">
        <v>901798</v>
      </c>
      <c r="G46" s="280">
        <f t="shared" si="0"/>
        <v>0.71747849270307318</v>
      </c>
    </row>
    <row r="47" spans="1:7" s="227" customFormat="1" ht="30" customHeight="1" x14ac:dyDescent="0.2">
      <c r="A47" s="18">
        <v>40</v>
      </c>
      <c r="B47" s="226" t="s">
        <v>33</v>
      </c>
      <c r="C47" s="206" t="s">
        <v>470</v>
      </c>
      <c r="D47" s="262">
        <v>1083198</v>
      </c>
      <c r="E47" s="262">
        <v>1083198</v>
      </c>
      <c r="F47" s="262">
        <v>1199947</v>
      </c>
      <c r="G47" s="280">
        <f t="shared" si="0"/>
        <v>1.1077817721229175</v>
      </c>
    </row>
    <row r="48" spans="1:7" s="227" customFormat="1" ht="23.45" customHeight="1" x14ac:dyDescent="0.2">
      <c r="A48" s="18">
        <v>41</v>
      </c>
      <c r="B48" s="226" t="s">
        <v>33</v>
      </c>
      <c r="C48" s="206" t="s">
        <v>471</v>
      </c>
      <c r="D48" s="262">
        <v>173228</v>
      </c>
      <c r="E48" s="262">
        <v>173228</v>
      </c>
      <c r="F48" s="262">
        <v>0</v>
      </c>
      <c r="G48" s="280">
        <f t="shared" si="0"/>
        <v>0</v>
      </c>
    </row>
    <row r="49" spans="1:7" s="227" customFormat="1" ht="23.45" customHeight="1" x14ac:dyDescent="0.2">
      <c r="A49" s="18">
        <v>42</v>
      </c>
      <c r="B49" s="226" t="s">
        <v>33</v>
      </c>
      <c r="C49" s="206" t="s">
        <v>472</v>
      </c>
      <c r="D49" s="262">
        <v>0</v>
      </c>
      <c r="E49" s="262">
        <v>10953516</v>
      </c>
      <c r="F49" s="262">
        <f>7840000+726758+1660000</f>
        <v>10226758</v>
      </c>
      <c r="G49" s="280">
        <f t="shared" si="0"/>
        <v>0.93365071087676321</v>
      </c>
    </row>
    <row r="50" spans="1:7" s="14" customFormat="1" x14ac:dyDescent="0.2">
      <c r="A50" s="18">
        <v>43</v>
      </c>
      <c r="B50" s="360" t="s">
        <v>418</v>
      </c>
      <c r="C50" s="361"/>
      <c r="D50" s="263">
        <f>SUM(D42:D49)</f>
        <v>4293053</v>
      </c>
      <c r="E50" s="263">
        <f>SUM(E42:E49)</f>
        <v>15406569</v>
      </c>
      <c r="F50" s="263">
        <f>SUM(F42:F49)</f>
        <v>13977477</v>
      </c>
      <c r="G50" s="281">
        <f t="shared" si="0"/>
        <v>0.90724138515200881</v>
      </c>
    </row>
    <row r="51" spans="1:7" s="14" customFormat="1" x14ac:dyDescent="0.2">
      <c r="A51" s="18">
        <v>44</v>
      </c>
      <c r="B51" s="364" t="s">
        <v>429</v>
      </c>
      <c r="C51" s="365"/>
      <c r="D51" s="365"/>
      <c r="E51" s="365"/>
      <c r="F51" s="365"/>
      <c r="G51" s="366"/>
    </row>
    <row r="52" spans="1:7" s="227" customFormat="1" x14ac:dyDescent="0.2">
      <c r="A52" s="18">
        <v>45</v>
      </c>
      <c r="B52" s="226" t="s">
        <v>33</v>
      </c>
      <c r="C52" s="206" t="s">
        <v>489</v>
      </c>
      <c r="D52" s="209">
        <v>0</v>
      </c>
      <c r="E52" s="209">
        <v>104780</v>
      </c>
      <c r="F52" s="209">
        <v>104780</v>
      </c>
      <c r="G52" s="280">
        <f t="shared" ref="G52:G54" si="2">F52/E52</f>
        <v>1</v>
      </c>
    </row>
    <row r="53" spans="1:7" s="14" customFormat="1" x14ac:dyDescent="0.2">
      <c r="A53" s="18">
        <v>46</v>
      </c>
      <c r="B53" s="381" t="s">
        <v>488</v>
      </c>
      <c r="C53" s="382"/>
      <c r="D53" s="253">
        <f>SUM(D52:D52)</f>
        <v>0</v>
      </c>
      <c r="E53" s="253">
        <f>SUM(E52:E52)</f>
        <v>104780</v>
      </c>
      <c r="F53" s="253">
        <f>SUM(F52:F52)</f>
        <v>104780</v>
      </c>
      <c r="G53" s="281">
        <f t="shared" si="2"/>
        <v>1</v>
      </c>
    </row>
    <row r="54" spans="1:7" s="10" customFormat="1" thickBot="1" x14ac:dyDescent="0.25">
      <c r="A54" s="18">
        <v>47</v>
      </c>
      <c r="B54" s="251" t="s">
        <v>477</v>
      </c>
      <c r="C54" s="251"/>
      <c r="D54" s="264">
        <f>SUM(D50+D40+D36+D53+D32)</f>
        <v>803621229</v>
      </c>
      <c r="E54" s="264">
        <f>SUM(E50+E40+E36+E53+E32)</f>
        <v>818699336</v>
      </c>
      <c r="F54" s="264">
        <f>SUM(F50+F40+F36+F53+F32)</f>
        <v>51312208</v>
      </c>
      <c r="G54" s="282">
        <f t="shared" si="2"/>
        <v>6.2675277410998168E-2</v>
      </c>
    </row>
    <row r="55" spans="1:7" x14ac:dyDescent="0.2">
      <c r="A55" s="18">
        <v>48</v>
      </c>
      <c r="B55" s="369" t="s">
        <v>12</v>
      </c>
      <c r="C55" s="369"/>
      <c r="D55" s="369"/>
      <c r="E55" s="369"/>
      <c r="F55" s="269"/>
      <c r="G55" s="270"/>
    </row>
    <row r="56" spans="1:7" s="11" customFormat="1" x14ac:dyDescent="0.2">
      <c r="A56" s="18">
        <v>49</v>
      </c>
      <c r="B56" s="190" t="s">
        <v>51</v>
      </c>
      <c r="C56" s="191"/>
      <c r="D56" s="191"/>
      <c r="E56" s="265"/>
      <c r="F56" s="190"/>
      <c r="G56" s="223"/>
    </row>
    <row r="57" spans="1:7" s="228" customFormat="1" x14ac:dyDescent="0.2">
      <c r="A57" s="18">
        <v>50</v>
      </c>
      <c r="B57" s="226" t="s">
        <v>33</v>
      </c>
      <c r="C57" s="206" t="s">
        <v>420</v>
      </c>
      <c r="D57" s="208">
        <v>1714500</v>
      </c>
      <c r="E57" s="208">
        <v>1714500</v>
      </c>
      <c r="F57" s="208">
        <v>0</v>
      </c>
      <c r="G57" s="280">
        <f t="shared" ref="G57:G60" si="3">F57/E57</f>
        <v>0</v>
      </c>
    </row>
    <row r="58" spans="1:7" s="228" customFormat="1" x14ac:dyDescent="0.2">
      <c r="A58" s="18">
        <v>51</v>
      </c>
      <c r="B58" s="226" t="s">
        <v>33</v>
      </c>
      <c r="C58" s="206" t="s">
        <v>485</v>
      </c>
      <c r="D58" s="208">
        <v>7623013</v>
      </c>
      <c r="E58" s="208">
        <v>7623013</v>
      </c>
      <c r="F58" s="208">
        <v>0</v>
      </c>
      <c r="G58" s="280">
        <f t="shared" si="3"/>
        <v>0</v>
      </c>
    </row>
    <row r="59" spans="1:7" s="227" customFormat="1" x14ac:dyDescent="0.2">
      <c r="A59" s="18">
        <v>52</v>
      </c>
      <c r="B59" s="226" t="s">
        <v>33</v>
      </c>
      <c r="C59" s="206" t="s">
        <v>473</v>
      </c>
      <c r="D59" s="208">
        <v>0</v>
      </c>
      <c r="E59" s="208">
        <v>5600000</v>
      </c>
      <c r="F59" s="208">
        <v>2507350</v>
      </c>
      <c r="G59" s="280">
        <f t="shared" si="3"/>
        <v>0.44774107142857145</v>
      </c>
    </row>
    <row r="60" spans="1:7" s="11" customFormat="1" x14ac:dyDescent="0.2">
      <c r="A60" s="18">
        <v>53</v>
      </c>
      <c r="B60" s="360" t="s">
        <v>52</v>
      </c>
      <c r="C60" s="361"/>
      <c r="D60" s="266">
        <f>SUM(D57:D59)</f>
        <v>9337513</v>
      </c>
      <c r="E60" s="266">
        <f>SUM(E57:E59)</f>
        <v>14937513</v>
      </c>
      <c r="F60" s="266">
        <f>SUM(F57:F59)</f>
        <v>2507350</v>
      </c>
      <c r="G60" s="281">
        <f t="shared" si="3"/>
        <v>0.16785592086179271</v>
      </c>
    </row>
    <row r="61" spans="1:7" s="14" customFormat="1" x14ac:dyDescent="0.2">
      <c r="A61" s="18">
        <v>54</v>
      </c>
      <c r="B61" s="362" t="s">
        <v>7</v>
      </c>
      <c r="C61" s="363"/>
      <c r="D61" s="363"/>
      <c r="E61" s="363"/>
      <c r="F61" s="271"/>
      <c r="G61" s="242"/>
    </row>
    <row r="62" spans="1:7" s="14" customFormat="1" x14ac:dyDescent="0.2">
      <c r="A62" s="18">
        <v>55</v>
      </c>
      <c r="B62" s="360" t="s">
        <v>78</v>
      </c>
      <c r="C62" s="361"/>
      <c r="D62" s="253">
        <v>0</v>
      </c>
      <c r="E62" s="253">
        <v>0</v>
      </c>
      <c r="F62" s="253">
        <v>0</v>
      </c>
      <c r="G62" s="286" t="s">
        <v>33</v>
      </c>
    </row>
    <row r="63" spans="1:7" s="14" customFormat="1" x14ac:dyDescent="0.2">
      <c r="A63" s="18">
        <v>56</v>
      </c>
      <c r="B63" s="362" t="s">
        <v>368</v>
      </c>
      <c r="C63" s="363"/>
      <c r="D63" s="363"/>
      <c r="E63" s="363"/>
      <c r="F63" s="271"/>
      <c r="G63" s="242"/>
    </row>
    <row r="64" spans="1:7" s="14" customFormat="1" x14ac:dyDescent="0.2">
      <c r="A64" s="18">
        <v>57</v>
      </c>
      <c r="B64" s="226" t="s">
        <v>33</v>
      </c>
      <c r="C64" s="206" t="s">
        <v>493</v>
      </c>
      <c r="D64" s="208">
        <v>0</v>
      </c>
      <c r="E64" s="208">
        <v>51980</v>
      </c>
      <c r="F64" s="207">
        <v>51980</v>
      </c>
      <c r="G64" s="280">
        <f t="shared" ref="G64:G66" si="4">F64/E64</f>
        <v>1</v>
      </c>
    </row>
    <row r="65" spans="1:7" s="14" customFormat="1" x14ac:dyDescent="0.2">
      <c r="A65" s="18">
        <v>58</v>
      </c>
      <c r="B65" s="226" t="s">
        <v>33</v>
      </c>
      <c r="C65" s="206" t="s">
        <v>494</v>
      </c>
      <c r="D65" s="208">
        <v>0</v>
      </c>
      <c r="E65" s="208">
        <v>8990</v>
      </c>
      <c r="F65" s="207">
        <v>8990</v>
      </c>
      <c r="G65" s="280">
        <f t="shared" si="4"/>
        <v>1</v>
      </c>
    </row>
    <row r="66" spans="1:7" s="227" customFormat="1" x14ac:dyDescent="0.2">
      <c r="A66" s="18">
        <v>59</v>
      </c>
      <c r="B66" s="226" t="s">
        <v>33</v>
      </c>
      <c r="C66" s="206" t="s">
        <v>474</v>
      </c>
      <c r="D66" s="208">
        <v>0</v>
      </c>
      <c r="E66" s="208">
        <v>890000</v>
      </c>
      <c r="F66" s="207">
        <v>228014</v>
      </c>
      <c r="G66" s="280">
        <f t="shared" si="4"/>
        <v>0.25619550561797755</v>
      </c>
    </row>
    <row r="67" spans="1:7" s="14" customFormat="1" x14ac:dyDescent="0.2">
      <c r="A67" s="18">
        <v>60</v>
      </c>
      <c r="B67" s="360" t="s">
        <v>418</v>
      </c>
      <c r="C67" s="361"/>
      <c r="D67" s="253">
        <f>SUM(D64:D66)</f>
        <v>0</v>
      </c>
      <c r="E67" s="253">
        <f t="shared" ref="E67:F67" si="5">SUM(E64:E66)</f>
        <v>950970</v>
      </c>
      <c r="F67" s="253">
        <f t="shared" si="5"/>
        <v>288984</v>
      </c>
      <c r="G67" s="281">
        <f t="shared" ref="G67:G71" si="6">F67/E67</f>
        <v>0.30388340326193253</v>
      </c>
    </row>
    <row r="68" spans="1:7" s="14" customFormat="1" x14ac:dyDescent="0.2">
      <c r="A68" s="18">
        <v>61</v>
      </c>
      <c r="B68" s="362" t="s">
        <v>367</v>
      </c>
      <c r="C68" s="363"/>
      <c r="D68" s="363"/>
      <c r="E68" s="363"/>
      <c r="F68" s="271"/>
      <c r="G68" s="242"/>
    </row>
    <row r="69" spans="1:7" s="14" customFormat="1" x14ac:dyDescent="0.2">
      <c r="A69" s="18">
        <v>62</v>
      </c>
      <c r="B69" s="226" t="s">
        <v>33</v>
      </c>
      <c r="C69" s="206" t="s">
        <v>491</v>
      </c>
      <c r="D69" s="208">
        <v>0</v>
      </c>
      <c r="E69" s="209">
        <v>31750</v>
      </c>
      <c r="F69" s="209">
        <v>31750</v>
      </c>
      <c r="G69" s="280">
        <f t="shared" si="6"/>
        <v>1</v>
      </c>
    </row>
    <row r="70" spans="1:7" s="14" customFormat="1" x14ac:dyDescent="0.2">
      <c r="A70" s="18">
        <v>63</v>
      </c>
      <c r="B70" s="360" t="s">
        <v>421</v>
      </c>
      <c r="C70" s="361"/>
      <c r="D70" s="275">
        <f>SUM(D69)</f>
        <v>0</v>
      </c>
      <c r="E70" s="275">
        <f t="shared" ref="E70:F70" si="7">SUM(E69)</f>
        <v>31750</v>
      </c>
      <c r="F70" s="275">
        <f t="shared" si="7"/>
        <v>31750</v>
      </c>
      <c r="G70" s="281">
        <f t="shared" si="6"/>
        <v>1</v>
      </c>
    </row>
    <row r="71" spans="1:7" s="258" customFormat="1" x14ac:dyDescent="0.2">
      <c r="A71" s="254">
        <v>64</v>
      </c>
      <c r="B71" s="260" t="s">
        <v>478</v>
      </c>
      <c r="C71" s="260"/>
      <c r="D71" s="276">
        <f>SUM(D60+D70+D62+D67)</f>
        <v>9337513</v>
      </c>
      <c r="E71" s="276">
        <f>SUM(E60+E70+E62+E67)</f>
        <v>15920233</v>
      </c>
      <c r="F71" s="276">
        <f>SUM(F60+F70+F62+F67)</f>
        <v>2828084</v>
      </c>
      <c r="G71" s="282">
        <f t="shared" si="6"/>
        <v>0.17764086744207827</v>
      </c>
    </row>
    <row r="72" spans="1:7" s="258" customFormat="1" x14ac:dyDescent="0.2">
      <c r="A72" s="254">
        <v>65</v>
      </c>
      <c r="B72" s="379" t="s">
        <v>422</v>
      </c>
      <c r="C72" s="379"/>
      <c r="D72" s="379"/>
      <c r="E72" s="379"/>
      <c r="F72" s="272"/>
      <c r="G72" s="259"/>
    </row>
    <row r="73" spans="1:7" s="11" customFormat="1" x14ac:dyDescent="0.2">
      <c r="A73" s="18">
        <v>66</v>
      </c>
      <c r="B73" s="173" t="s">
        <v>51</v>
      </c>
      <c r="C73" s="191"/>
      <c r="D73" s="173"/>
      <c r="E73" s="267"/>
      <c r="F73" s="250"/>
      <c r="G73" s="244"/>
    </row>
    <row r="74" spans="1:7" s="231" customFormat="1" x14ac:dyDescent="0.2">
      <c r="A74" s="18">
        <v>67</v>
      </c>
      <c r="B74" s="226" t="s">
        <v>33</v>
      </c>
      <c r="C74" s="230"/>
      <c r="D74" s="239"/>
      <c r="E74" s="268"/>
      <c r="F74" s="239"/>
      <c r="G74" s="245"/>
    </row>
    <row r="75" spans="1:7" s="257" customFormat="1" ht="15.75" thickBot="1" x14ac:dyDescent="0.25">
      <c r="A75" s="254">
        <v>68</v>
      </c>
      <c r="B75" s="255" t="s">
        <v>482</v>
      </c>
      <c r="C75" s="256"/>
      <c r="D75" s="277">
        <f>SUM(D74)</f>
        <v>0</v>
      </c>
      <c r="E75" s="277">
        <f>SUM(E74)</f>
        <v>0</v>
      </c>
      <c r="F75" s="277">
        <f>SUM(F74)</f>
        <v>0</v>
      </c>
      <c r="G75" s="285" t="s">
        <v>33</v>
      </c>
    </row>
    <row r="76" spans="1:7" x14ac:dyDescent="0.2">
      <c r="A76" s="18">
        <v>69</v>
      </c>
      <c r="B76" s="369" t="s">
        <v>423</v>
      </c>
      <c r="C76" s="369"/>
      <c r="D76" s="369"/>
      <c r="E76" s="369"/>
      <c r="F76" s="269"/>
      <c r="G76" s="270"/>
    </row>
    <row r="77" spans="1:7" s="11" customFormat="1" x14ac:dyDescent="0.2">
      <c r="A77" s="18">
        <v>70</v>
      </c>
      <c r="B77" s="173" t="s">
        <v>51</v>
      </c>
      <c r="C77" s="191"/>
      <c r="D77" s="173"/>
      <c r="E77" s="267"/>
      <c r="F77" s="250"/>
      <c r="G77" s="244"/>
    </row>
    <row r="78" spans="1:7" s="231" customFormat="1" x14ac:dyDescent="0.2">
      <c r="A78" s="18">
        <v>71</v>
      </c>
      <c r="B78" s="226" t="s">
        <v>33</v>
      </c>
      <c r="C78" s="230"/>
      <c r="D78" s="239"/>
      <c r="E78" s="268"/>
      <c r="F78" s="239"/>
      <c r="G78" s="245"/>
    </row>
    <row r="79" spans="1:7" s="10" customFormat="1" ht="15.75" thickBot="1" x14ac:dyDescent="0.25">
      <c r="A79" s="18">
        <v>72</v>
      </c>
      <c r="B79" s="252" t="s">
        <v>481</v>
      </c>
      <c r="C79" s="251"/>
      <c r="D79" s="278">
        <f>SUM(D78:D78)</f>
        <v>0</v>
      </c>
      <c r="E79" s="278">
        <f>SUM(E78:E78)</f>
        <v>0</v>
      </c>
      <c r="F79" s="278">
        <f>SUM(F78:F78)</f>
        <v>0</v>
      </c>
      <c r="G79" s="285" t="s">
        <v>33</v>
      </c>
    </row>
    <row r="80" spans="1:7" x14ac:dyDescent="0.2">
      <c r="A80" s="18">
        <v>73</v>
      </c>
      <c r="B80" s="369" t="s">
        <v>424</v>
      </c>
      <c r="C80" s="369"/>
      <c r="D80" s="369"/>
      <c r="E80" s="369"/>
      <c r="F80" s="269"/>
      <c r="G80" s="270"/>
    </row>
    <row r="81" spans="1:8" s="11" customFormat="1" x14ac:dyDescent="0.2">
      <c r="A81" s="18">
        <v>74</v>
      </c>
      <c r="B81" s="173" t="s">
        <v>51</v>
      </c>
      <c r="C81" s="191"/>
      <c r="D81" s="173"/>
      <c r="E81" s="267"/>
      <c r="F81" s="250"/>
      <c r="G81" s="244"/>
    </row>
    <row r="82" spans="1:8" s="233" customFormat="1" x14ac:dyDescent="0.2">
      <c r="A82" s="18">
        <v>75</v>
      </c>
      <c r="B82" s="226" t="s">
        <v>33</v>
      </c>
      <c r="C82" s="206" t="s">
        <v>475</v>
      </c>
      <c r="D82" s="207">
        <v>50000</v>
      </c>
      <c r="E82" s="207">
        <v>50000</v>
      </c>
      <c r="F82" s="207">
        <v>0</v>
      </c>
      <c r="G82" s="247"/>
    </row>
    <row r="83" spans="1:8" s="228" customFormat="1" ht="15.75" customHeight="1" x14ac:dyDescent="0.2">
      <c r="A83" s="18">
        <v>76</v>
      </c>
      <c r="B83" s="226" t="s">
        <v>33</v>
      </c>
      <c r="C83" s="206" t="s">
        <v>34</v>
      </c>
      <c r="D83" s="207">
        <v>699840</v>
      </c>
      <c r="E83" s="207">
        <v>699840</v>
      </c>
      <c r="F83" s="207">
        <v>291600</v>
      </c>
      <c r="G83" s="247"/>
    </row>
    <row r="84" spans="1:8" s="10" customFormat="1" thickBot="1" x14ac:dyDescent="0.25">
      <c r="A84" s="18">
        <v>77</v>
      </c>
      <c r="B84" s="252" t="s">
        <v>480</v>
      </c>
      <c r="C84" s="251"/>
      <c r="D84" s="278">
        <f>SUM(D82:D83)</f>
        <v>749840</v>
      </c>
      <c r="E84" s="278">
        <f>SUM(E82:E83)</f>
        <v>749840</v>
      </c>
      <c r="F84" s="278">
        <f>SUM(F82:F83)</f>
        <v>291600</v>
      </c>
      <c r="G84" s="282">
        <f t="shared" ref="G84" si="8">F84/E84</f>
        <v>0.38888296169849568</v>
      </c>
    </row>
    <row r="85" spans="1:8" hidden="1" x14ac:dyDescent="0.2">
      <c r="A85" s="18">
        <v>68</v>
      </c>
      <c r="B85" s="367" t="s">
        <v>425</v>
      </c>
      <c r="C85" s="367"/>
      <c r="D85" s="367"/>
      <c r="E85" s="380"/>
      <c r="G85" s="243"/>
    </row>
    <row r="86" spans="1:8" s="11" customFormat="1" hidden="1" x14ac:dyDescent="0.2">
      <c r="A86" s="18">
        <v>58</v>
      </c>
      <c r="B86" s="20"/>
      <c r="C86" s="234"/>
      <c r="D86" s="240"/>
      <c r="E86" s="235"/>
      <c r="F86" s="240"/>
      <c r="G86" s="248"/>
    </row>
    <row r="87" spans="1:8" s="10" customFormat="1" hidden="1" thickBot="1" x14ac:dyDescent="0.25">
      <c r="A87" s="18">
        <v>59</v>
      </c>
      <c r="B87" s="174" t="s">
        <v>419</v>
      </c>
      <c r="C87" s="172"/>
      <c r="D87" s="176"/>
      <c r="E87" s="236">
        <f>SUM(E86:E86)</f>
        <v>0</v>
      </c>
      <c r="F87" s="176"/>
      <c r="G87" s="246"/>
    </row>
    <row r="88" spans="1:8" hidden="1" x14ac:dyDescent="0.2">
      <c r="A88" s="18">
        <v>60</v>
      </c>
      <c r="B88" s="367" t="s">
        <v>79</v>
      </c>
      <c r="C88" s="367"/>
      <c r="D88" s="367"/>
      <c r="E88" s="380"/>
      <c r="G88" s="243"/>
    </row>
    <row r="89" spans="1:8" hidden="1" x14ac:dyDescent="0.2">
      <c r="A89" s="18">
        <v>61</v>
      </c>
      <c r="B89" s="173"/>
      <c r="C89" s="175"/>
      <c r="D89" s="175"/>
      <c r="E89" s="229"/>
      <c r="F89" s="175"/>
      <c r="G89" s="249"/>
    </row>
    <row r="90" spans="1:8" s="10" customFormat="1" hidden="1" thickBot="1" x14ac:dyDescent="0.25">
      <c r="A90" s="165">
        <v>62</v>
      </c>
      <c r="B90" s="174" t="s">
        <v>419</v>
      </c>
      <c r="C90" s="172"/>
      <c r="D90" s="176"/>
      <c r="E90" s="232">
        <v>0</v>
      </c>
      <c r="F90" s="176"/>
      <c r="G90" s="246"/>
    </row>
    <row r="91" spans="1:8" x14ac:dyDescent="0.2">
      <c r="A91" s="237">
        <v>78</v>
      </c>
      <c r="B91" s="369" t="s">
        <v>79</v>
      </c>
      <c r="C91" s="369"/>
      <c r="D91" s="369"/>
      <c r="E91" s="369"/>
      <c r="F91" s="273"/>
      <c r="G91" s="274"/>
    </row>
    <row r="92" spans="1:8" x14ac:dyDescent="0.2">
      <c r="A92" s="179">
        <v>79</v>
      </c>
      <c r="B92" s="226" t="s">
        <v>33</v>
      </c>
      <c r="C92" s="206" t="s">
        <v>476</v>
      </c>
      <c r="D92" s="207">
        <v>0</v>
      </c>
      <c r="E92" s="207">
        <v>12000000</v>
      </c>
      <c r="F92" s="207"/>
      <c r="G92" s="247"/>
    </row>
    <row r="93" spans="1:8" s="10" customFormat="1" thickBot="1" x14ac:dyDescent="0.25">
      <c r="A93" s="238">
        <v>80</v>
      </c>
      <c r="B93" s="252" t="s">
        <v>479</v>
      </c>
      <c r="C93" s="251"/>
      <c r="D93" s="278">
        <f>SUM(D92:D92)</f>
        <v>0</v>
      </c>
      <c r="E93" s="278">
        <f>SUM(E92:E92)</f>
        <v>12000000</v>
      </c>
      <c r="F93" s="278">
        <f>SUM(F92:F92)</f>
        <v>0</v>
      </c>
      <c r="G93" s="283">
        <f t="shared" ref="G93:G94" si="9">F93/E93</f>
        <v>0</v>
      </c>
    </row>
    <row r="94" spans="1:8" ht="21" customHeight="1" thickBot="1" x14ac:dyDescent="0.25">
      <c r="A94" s="238">
        <v>81</v>
      </c>
      <c r="B94" s="176" t="s">
        <v>20</v>
      </c>
      <c r="C94" s="174"/>
      <c r="D94" s="279">
        <f>SUM(D90+D84+D79+D71+D54+D75+D93)</f>
        <v>813708582</v>
      </c>
      <c r="E94" s="279">
        <f>SUM(E90+E84+E79+E71+E54+E75+E93)</f>
        <v>847369409</v>
      </c>
      <c r="F94" s="279">
        <f>SUM(F90+F84+F79+F71+F54+F75+F93)</f>
        <v>54431892</v>
      </c>
      <c r="G94" s="284">
        <f t="shared" si="9"/>
        <v>6.4236319392549604E-2</v>
      </c>
    </row>
    <row r="95" spans="1:8" hidden="1" x14ac:dyDescent="0.2">
      <c r="A95" s="165">
        <v>45</v>
      </c>
      <c r="B95" s="367" t="s">
        <v>425</v>
      </c>
      <c r="C95" s="367"/>
      <c r="D95" s="224"/>
      <c r="E95" s="183"/>
      <c r="F95" s="224"/>
      <c r="G95" s="224"/>
      <c r="H95" s="185"/>
    </row>
    <row r="96" spans="1:8" s="11" customFormat="1" hidden="1" x14ac:dyDescent="0.2">
      <c r="A96" s="18">
        <v>46</v>
      </c>
      <c r="B96" s="20"/>
      <c r="C96" s="178"/>
      <c r="D96" s="178"/>
      <c r="E96" s="182"/>
      <c r="F96" s="178"/>
      <c r="G96" s="178"/>
      <c r="H96" s="186"/>
    </row>
    <row r="97" spans="1:9" s="10" customFormat="1" hidden="1" thickBot="1" x14ac:dyDescent="0.25">
      <c r="A97" s="18">
        <v>47</v>
      </c>
      <c r="B97" s="174" t="s">
        <v>419</v>
      </c>
      <c r="C97" s="177"/>
      <c r="D97" s="241"/>
      <c r="E97" s="180"/>
      <c r="F97" s="241"/>
      <c r="G97" s="241"/>
      <c r="H97" s="187"/>
    </row>
    <row r="98" spans="1:9" hidden="1" x14ac:dyDescent="0.2">
      <c r="A98" s="18">
        <v>64</v>
      </c>
      <c r="B98" s="367" t="s">
        <v>79</v>
      </c>
      <c r="C98" s="367"/>
      <c r="D98" s="224"/>
      <c r="E98" s="181"/>
      <c r="F98" s="224"/>
      <c r="G98" s="224"/>
      <c r="H98" s="184"/>
    </row>
    <row r="99" spans="1:9" hidden="1" x14ac:dyDescent="0.2">
      <c r="A99" s="18">
        <v>65</v>
      </c>
      <c r="B99" s="173"/>
      <c r="C99" s="175"/>
      <c r="D99" s="175"/>
      <c r="E99" s="181"/>
      <c r="F99" s="175"/>
      <c r="G99" s="175"/>
      <c r="H99" s="184"/>
    </row>
    <row r="100" spans="1:9" s="10" customFormat="1" hidden="1" thickBot="1" x14ac:dyDescent="0.25">
      <c r="A100" s="171">
        <v>66</v>
      </c>
      <c r="B100" s="174" t="s">
        <v>419</v>
      </c>
      <c r="C100" s="177"/>
      <c r="D100" s="241"/>
      <c r="E100" s="180"/>
      <c r="F100" s="241"/>
      <c r="G100" s="241"/>
      <c r="H100" s="187"/>
    </row>
    <row r="102" spans="1:9" ht="21" customHeight="1" x14ac:dyDescent="0.2"/>
    <row r="104" spans="1:9" x14ac:dyDescent="0.2">
      <c r="B104" s="368"/>
      <c r="C104" s="368"/>
      <c r="D104" s="164"/>
      <c r="E104" s="164"/>
      <c r="F104" s="164"/>
      <c r="G104" s="164"/>
    </row>
    <row r="106" spans="1:9" x14ac:dyDescent="0.2">
      <c r="I106" s="188"/>
    </row>
  </sheetData>
  <mergeCells count="37">
    <mergeCell ref="B72:E72"/>
    <mergeCell ref="B76:E76"/>
    <mergeCell ref="B80:E80"/>
    <mergeCell ref="B85:E85"/>
    <mergeCell ref="B88:E88"/>
    <mergeCell ref="B98:C98"/>
    <mergeCell ref="B104:C104"/>
    <mergeCell ref="B95:C95"/>
    <mergeCell ref="B91:E91"/>
    <mergeCell ref="B2:H2"/>
    <mergeCell ref="B3:H3"/>
    <mergeCell ref="B5:C6"/>
    <mergeCell ref="D5:E5"/>
    <mergeCell ref="F5:F6"/>
    <mergeCell ref="G5:G6"/>
    <mergeCell ref="B7:C7"/>
    <mergeCell ref="B55:E55"/>
    <mergeCell ref="B60:C60"/>
    <mergeCell ref="B61:E61"/>
    <mergeCell ref="B62:C62"/>
    <mergeCell ref="B63:E63"/>
    <mergeCell ref="B70:C70"/>
    <mergeCell ref="B41:G41"/>
    <mergeCell ref="B32:C32"/>
    <mergeCell ref="B36:C36"/>
    <mergeCell ref="B40:C40"/>
    <mergeCell ref="B50:C50"/>
    <mergeCell ref="B33:G33"/>
    <mergeCell ref="B37:G37"/>
    <mergeCell ref="B51:G51"/>
    <mergeCell ref="B53:C53"/>
    <mergeCell ref="A5:A7"/>
    <mergeCell ref="B8:G8"/>
    <mergeCell ref="C1:G1"/>
    <mergeCell ref="B67:C67"/>
    <mergeCell ref="B68:E68"/>
    <mergeCell ref="B9:G9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6</vt:i4>
      </vt:variant>
    </vt:vector>
  </HeadingPairs>
  <TitlesOfParts>
    <vt:vector size="11" baseType="lpstr">
      <vt:lpstr>1.kv.teljesítés</vt:lpstr>
      <vt:lpstr>2. bevételek</vt:lpstr>
      <vt:lpstr>3.kiadások</vt:lpstr>
      <vt:lpstr>4.Feladatok kiadásai</vt:lpstr>
      <vt:lpstr>5. Felhalmozások</vt:lpstr>
      <vt:lpstr>'3.kiadások'!Nyomtatási_cím</vt:lpstr>
      <vt:lpstr>'4.Feladatok kiadásai'!Nyomtatási_cím</vt:lpstr>
      <vt:lpstr>'2. bevételek'!Nyomtatási_terület</vt:lpstr>
      <vt:lpstr>'3.kiadások'!Nyomtatási_terület</vt:lpstr>
      <vt:lpstr>'4.Feladatok kiadásai'!Nyomtatási_terület</vt:lpstr>
      <vt:lpstr>'5. Felhalmozások'!Nyomtatási_terület</vt:lpstr>
    </vt:vector>
  </TitlesOfParts>
  <Company>OTP Bank Rt.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Rajcsicsné Hajni</cp:lastModifiedBy>
  <cp:lastPrinted>2025-08-21T08:47:57Z</cp:lastPrinted>
  <dcterms:created xsi:type="dcterms:W3CDTF">2000-09-07T06:30:37Z</dcterms:created>
  <dcterms:modified xsi:type="dcterms:W3CDTF">2025-09-03T11:59:10Z</dcterms:modified>
</cp:coreProperties>
</file>